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https://bretrust.sharepoint.com/sites/BREEAM_sch_updt/INC_V6/Project Documents/Technical/Offline excels/"/>
    </mc:Choice>
  </mc:AlternateContent>
  <xr:revisionPtr revIDLastSave="0" documentId="8_{CF841744-0061-489F-ADCB-22212340BB22}" xr6:coauthVersionLast="47" xr6:coauthVersionMax="47" xr10:uidLastSave="{00000000-0000-0000-0000-000000000000}"/>
  <workbookProtection workbookAlgorithmName="SHA-512" workbookHashValue="iprx1vn2m5GXy+mPn+m2wykJGHXe+/NjiuQOyqmz1881Rh3XvnHIIS+QO1YW8MNZ02WLqhjMHZ5WHTsPhouZ4g==" workbookSaltValue="x0ZbNgWoh+5ucGdOVXVAjg==" workbookSpinCount="100000" lockStructure="1"/>
  <bookViews>
    <workbookView xWindow="-28920" yWindow="-120" windowWidth="29040" windowHeight="15990" tabRatio="867" xr2:uid="{00000000-000D-0000-FFFF-FFFF00000000}"/>
  </bookViews>
  <sheets>
    <sheet name="User instructions" sheetId="29" r:id="rId1"/>
    <sheet name="NCM act and schedules" sheetId="27" state="hidden" r:id="rId2"/>
    <sheet name="Activity database" sheetId="10" state="hidden" r:id="rId3"/>
    <sheet name="Restaurant and cafes calculator" sheetId="26" state="hidden" r:id="rId4"/>
    <sheet name="Cineman and Theatres" sheetId="30" state="hidden" r:id="rId5"/>
    <sheet name="Leisure centres" sheetId="31" state="hidden" r:id="rId6"/>
    <sheet name="Office calculator" sheetId="14" r:id="rId7"/>
    <sheet name="Retail calculator" sheetId="25" r:id="rId8"/>
    <sheet name="Industrial calculator" sheetId="20" r:id="rId9"/>
    <sheet name="Education calculator" sheetId="21" r:id="rId10"/>
    <sheet name="Multi-residential calculator" sheetId="22" state="hidden" r:id="rId11"/>
    <sheet name="Other building type calculator" sheetId="17" r:id="rId12"/>
    <sheet name="Average flow rate calculator" sheetId="33" r:id="rId13"/>
    <sheet name="Schedule of changes" sheetId="32" r:id="rId14"/>
  </sheets>
  <externalReferences>
    <externalReference r:id="rId15"/>
    <externalReference r:id="rId16"/>
    <externalReference r:id="rId17"/>
    <externalReference r:id="rId18"/>
    <externalReference r:id="rId19"/>
  </externalReferences>
  <definedNames>
    <definedName name="_xlnm._FilterDatabase" localSheetId="2" hidden="1">'Activity database'!$A$3:$AL$3</definedName>
    <definedName name="_xlnm._FilterDatabase" localSheetId="1" hidden="1">'NCM act and schedules'!$A$8:$AD$359</definedName>
    <definedName name="clearall">'[1]Mat1 Calculator'!$F$20,'[1]Mat1 Calculator'!$F$20:$H$25,'[1]Mat1 Calculator'!$F$27:$H$32,'[1]Mat1 Calculator'!$F$34:$H$39,'[1]Mat1 Calculator'!$F$41:$H$46,'[1]Mat1 Calculator'!$F$48:$H$59,'[1]Mat1 Calculator'!$F$61:$H$66,'[1]Mat1 Calculator'!$K$20:$K$25,'[1]Mat1 Calculator'!$K$27:$K$32,'[1]Mat1 Calculator'!$K$34:$K$39,'[1]Mat1 Calculator'!$K$41:$K$46,'[1]Mat1 Calculator'!$K$48:$K$59,'[1]Mat1 Calculator'!$K$61:$K$66,'[1]Mat1 Calculator'!$M$20:$N$25,'[1]Mat1 Calculator'!$M$27:$N$32,'[1]Mat1 Calculator'!$M$34:$N$39,'[1]Mat1 Calculator'!$M$41:$N$46,'[1]Mat1 Calculator'!$M$48:$N$59,'[1]Mat1 Calculator'!$M$61:$N$66</definedName>
    <definedName name="CreditsEdu">'Activity database'!$BF$4:$BG$9</definedName>
    <definedName name="CreditsInd">'Activity database'!$BI$4:$BJ$9</definedName>
    <definedName name="CreditsOff">'Activity database'!$BO$4:$BP$9</definedName>
    <definedName name="CreditsOth">'Activity database'!$BC$4:$BD$9</definedName>
    <definedName name="CreditsRet">'Activity database'!$BL$4:$BM$9</definedName>
    <definedName name="EWclear1">[2]Mat3!$C$271,[2]Mat3!$C$271:$D$278,[2]Mat3!$G$271:$G$278,[2]Mat3!$I$271:$I$278</definedName>
    <definedName name="EWclear2">[2]Mat3!$C$285,[2]Mat3!$C$285:$D$292,[2]Mat3!$G$285:$G$292,[2]Mat3!$I$285:$I$292</definedName>
    <definedName name="EWclear3">[2]Mat3!$C$299,[2]Mat3!$C$299:$D$306,[2]Mat3!$G$299:$G$306,[2]Mat3!$I$299:$I$306</definedName>
    <definedName name="EWclear4">[2]Mat3!$C$313,[2]Mat3!$C$313:$D$320,[2]Mat3!$G$313:$G$320,[2]Mat3!$I$313:$I$320</definedName>
    <definedName name="ExcempInd">'Activity database'!$BI$10</definedName>
    <definedName name="ExempEdu">'Activity database'!$BF$10</definedName>
    <definedName name="ExempInd">'Activity database'!$BI$10</definedName>
    <definedName name="ExempOff">'Activity database'!$BO$10</definedName>
    <definedName name="ExempOth">'Activity database'!$BC$10</definedName>
    <definedName name="ExempRet">'Activity database'!$BL$10</definedName>
    <definedName name="Fclear1">[2]Mat3!$C$454,[2]Mat3!$C$454:$D$461,[2]Mat3!$G$454:$G$461,[2]Mat3!$I$454:$I$461</definedName>
    <definedName name="Fclear2">[2]Mat3!$C$468,[2]Mat3!$C$468:$D$475,[2]Mat3!$G$468:$G$475,[2]Mat3!$I$468:$I$475</definedName>
    <definedName name="Fclear3">[2]Mat3!$C$482,[2]Mat3!$C$482:$D$489,[2]Mat3!$G$482:$G$489,[2]Mat3!$I$482:$I$489</definedName>
    <definedName name="Fclear4">[2]Mat3!$C$496,[2]Mat3!$C$496:$D$503,[2]Mat3!$G$496:$G$503,[2]Mat3!$I$496:$I$503</definedName>
    <definedName name="filtervalue1a">[2]Mat3!$R$28</definedName>
    <definedName name="filtervalue2a">[2]Mat3!$R$89</definedName>
    <definedName name="filtervalue3a">[2]Mat3!$R$150</definedName>
    <definedName name="filtervalue4a">[2]Mat3!$R$211</definedName>
    <definedName name="filtervalue5a">[2]Mat3!$R$272</definedName>
    <definedName name="filtervalue6a">[2]Mat3!$R$333</definedName>
    <definedName name="filtervalue7a">[2]Mat3!$R$394</definedName>
    <definedName name="filtervalue8a">[2]Mat3!$R$455</definedName>
    <definedName name="filtervalue9a">[2]Mat3!$R$516</definedName>
    <definedName name="FSclear1">[2]Mat3!$C$393,[2]Mat3!$C$393:$D$400,[2]Mat3!$G$393:$G$400,[2]Mat3!$I$393:$I$400</definedName>
    <definedName name="FSclear2">[2]Mat3!$C$407,[2]Mat3!$C$407:$D$414,[2]Mat3!$G$407:$G$414,[2]Mat3!$I$407:$I$414</definedName>
    <definedName name="FSclear3">[2]Mat3!$C$421,[2]Mat3!$C$421:$D$428,[2]Mat3!$G$421:$G$428,[2]Mat3!$I$421:$I$428</definedName>
    <definedName name="FSclear4">[2]Mat3!$C$435,[2]Mat3!$C$435:$D$442,[2]Mat3!$G$435:$G$442,[2]Mat3!$I$435:$I$442</definedName>
    <definedName name="GFclear1">[2]Mat3!$C$88:$D$95,[2]Mat3!$G$88:$G$95,[2]Mat3!$I$88:$I$95</definedName>
    <definedName name="GFclear2">[2]Mat3!$C$102,[2]Mat3!$C$102:$D$109,[2]Mat3!$G$102:$G$109,[2]Mat3!$I$102:$I$109</definedName>
    <definedName name="GFclear3">[2]Mat3!$C$116,[2]Mat3!$C$116:$D$123,[2]Mat3!$G$116:$G$123,[2]Mat3!$I$116:$I$123</definedName>
    <definedName name="GFclear4">[2]Mat3!$C$130:$D$137,[2]Mat3!$G$130:$G$137,[2]Mat3!$I$130:$I$137</definedName>
    <definedName name="HLclear1">[2]Mat3!$C$515,[2]Mat3!$C$515:$D$522,[2]Mat3!$G$515:$G$522,[2]Mat3!$I$515:$I$522</definedName>
    <definedName name="HLclear2">[2]Mat3!$C$529,[2]Mat3!$C$529:$D$536,[2]Mat3!$G$529:$G$536,[2]Mat3!$I$529:$I$536</definedName>
    <definedName name="HLclear3">[2]Mat3!$C$543,[2]Mat3!$C$543:$D$550,[2]Mat3!$G$543:$G$550,[2]Mat3!$I$543:$I$550</definedName>
    <definedName name="HLclear4">[2]Mat3!$C$557,[2]Mat3!$C$557:$D$564,[2]Mat3!$G$557:$G$564,[2]Mat3!$I$557:$I$564</definedName>
    <definedName name="Ind_act" localSheetId="12">'[3]Industrial calculator'!$B$11</definedName>
    <definedName name="Ind_act">'Industrial calculator'!$B$13</definedName>
    <definedName name="IWclear1">[2]Mat3!$C$332,[2]Mat3!$C$332:$D$339,[2]Mat3!$G$332:$G$339,[2]Mat3!$I$332:$I$339</definedName>
    <definedName name="IWclear2">[2]Mat3!$C$346,[2]Mat3!$C$346:$D$353,[2]Mat3!$G$346:$G$353,[2]Mat3!$I$346:$I$353</definedName>
    <definedName name="IWclear3">[2]Mat3!$C$360,[2]Mat3!$C$360:$D$367,[2]Mat3!$G$360:$G$367,[2]Mat3!$I$360:$I$367</definedName>
    <definedName name="IWclear4">[2]Mat3!$C$374,[2]Mat3!$C$374:$D$381,[2]Mat3!$G$374:$G$381,[2]Mat3!$I$374:$I$381</definedName>
    <definedName name="LE45clearall" localSheetId="13">'[4]LE03&amp;LE04 Ecology Calculator 2'!$D$9:$D$47,'[4]LE03&amp;LE04 Ecology Calculator 2'!$F$9:$F$47,'[4]LE03&amp;LE04 Ecology Calculator 2'!$H$9:$H$47,'[4]LE03&amp;LE04 Ecology Calculator 2'!$K$9:$K$47</definedName>
    <definedName name="LE45clearall">'[5]LE03&amp;LE04 Ecology Calculator 2'!$E$9:$E$47,'[5]LE03&amp;LE04 Ecology Calculator 2'!$G$9:$G$47,'[5]LE03&amp;LE04 Ecology Calculator 2'!$I$9:$I$47,'[5]LE03&amp;LE04 Ecology Calculator 2'!$L$9:$L$47</definedName>
    <definedName name="LE4clearall" localSheetId="13">'[4]LE03 Ecology Calculator 1'!$D$8:$D$46,'[4]LE03 Ecology Calculator 1'!$H$8:$H$46,'[4]LE03 Ecology Calculator 1'!$K$8:$K$46</definedName>
    <definedName name="LE4clearall">'[5]LE03 Ecology Calculator 1'!$E$8:$E$46,'[5]LE03 Ecology Calculator 1'!$I$8:$I$46,'[5]LE03 Ecology Calculator 1'!$L$8:$L$46</definedName>
    <definedName name="mat1scheme">'[1]Mat1 Calculator'!$AF$20</definedName>
    <definedName name="mat1schemeselection">'[1]Mat1 Calculator'!$AH$21</definedName>
    <definedName name="mat1type">'[1]Mat1 Calculator'!$AA$13</definedName>
    <definedName name="OffExemp">'Activity database'!$BO$10</definedName>
    <definedName name="PrecipEdu">'Education calculator'!$C$10</definedName>
    <definedName name="PrecipInd">'Industrial calculator'!$C$10</definedName>
    <definedName name="Precipitation_List">'Office calculator'!$U$129:$U$132</definedName>
    <definedName name="Precipitation_zones">'Office calculator'!$U$128:$U$132</definedName>
    <definedName name="PrecipOff">'Office calculator'!$C$10</definedName>
    <definedName name="PrecipRet">'Retail calculator'!$C$10</definedName>
    <definedName name="quantnaele">'[1]Mat1 Calculator'!$AA$37</definedName>
    <definedName name="Rclear1">[2]Mat3!$C$210,[2]Mat3!$C$210:$D$217,[2]Mat3!$G$210:$G$217,[2]Mat3!$I$210:$I$217</definedName>
    <definedName name="Rclear2">[2]Mat3!$C$224,[2]Mat3!$C$224:$D$231,[2]Mat3!$G$224:$G$231,[2]Mat3!$I$224:$I$231</definedName>
    <definedName name="Rclear3">[2]Mat3!$C$238,[2]Mat3!$C$238:$D$245,[2]Mat3!$G$238:$G$245,[2]Mat3!$I$238:$I$245</definedName>
    <definedName name="Rclear4">[2]Mat3!$C$252,[2]Mat3!$C$252:$D$259,[2]Mat3!$G$252:$G$259,[2]Mat3!$I$252:$I$259</definedName>
    <definedName name="RetExemp">'Activity database'!$BL$10</definedName>
    <definedName name="SFclear1">[2]Mat3!$C$27,[2]Mat3!$C$27:$C$34,[2]Mat3!$D$27:$D$34,[2]Mat3!$G$27:$G$34,[2]Mat3!$I$27:$I$34</definedName>
    <definedName name="SFclear2">[2]Mat3!$C$41,[2]Mat3!$C$41:$C$48,[2]Mat3!$D$41:$D$48,[2]Mat3!$G$41:$G$48,[2]Mat3!$I$41:$I$48</definedName>
    <definedName name="SFclear3">[2]Mat3!$C$55,[2]Mat3!$C$55:$C$62,[2]Mat3!$D$55:$D$62,[2]Mat3!$G$55:$G$62,[2]Mat3!$I$55:$I$62</definedName>
    <definedName name="SFclear4">[2]Mat3!$C$69,[2]Mat3!$C$69:$C$76,[2]Mat3!$D$69:$D$76,[2]Mat3!$G$69:$G$76,[2]Mat3!$I$69:$I$76</definedName>
    <definedName name="Totalelements">'[1]Mat1 Calculator'!$AI$21</definedName>
    <definedName name="UFclear1">[2]Mat3!$C$149,[2]Mat3!$C$149:$D$156,[2]Mat3!$G$149:$G$156,[2]Mat3!$I$149:$I$156</definedName>
    <definedName name="UFclear2">[2]Mat3!$C$163,[2]Mat3!$C$163:$D$170,[2]Mat3!$G$163:$G$170,[2]Mat3!$I$163:$I$170</definedName>
    <definedName name="UFclear3">[2]Mat3!$C$177,[2]Mat3!$C$177:$D$184,[2]Mat3!$G$177:$G$184,[2]Mat3!$I$177:$I$184</definedName>
    <definedName name="UFclear4">[2]Mat3!$C$191,[2]Mat3!$C$191:$D$198,[2]Mat3!$G$191:$G$198,[2]Mat3!$I$191:$I$198</definedName>
    <definedName name="Wat01_building_type" localSheetId="12">#REF!</definedName>
    <definedName name="Wat01_building_type">'Other building type calculator'!$D$5</definedName>
    <definedName name="Wat01_buildingtype_range" localSheetId="12">#REF!</definedName>
    <definedName name="Wat01_buildingtype_range">'Other building type calculator'!$C$84:$O$95</definedName>
    <definedName name="Wat01_Component_type_no_list" localSheetId="12">#REF!</definedName>
    <definedName name="Wat01_Component_type_no_list">'Other building type calculator'!$C$127:$C$135</definedName>
    <definedName name="Wat01_option01" localSheetId="12">#REF!</definedName>
    <definedName name="Wat01_option01">'Other building type calculator'!$D$116</definedName>
    <definedName name="Wat01_option02" localSheetId="12">#REF!</definedName>
    <definedName name="Wat01_option02">'Other building type calculator'!$D$117</definedName>
    <definedName name="Wat01_option03" localSheetId="12">#REF!</definedName>
    <definedName name="Wat01_option03">'Other building type calculator'!$D$118</definedName>
    <definedName name="Wat01_option04" localSheetId="12">#REF!</definedName>
    <definedName name="Wat01_option04">'Other building type calculator'!$D$119</definedName>
    <definedName name="Wat01_option05" localSheetId="12">#REF!</definedName>
    <definedName name="Wat01_option05">'Other building type calculator'!$D$120</definedName>
    <definedName name="Wat01_option06" localSheetId="12">#REF!</definedName>
    <definedName name="Wat01_option06">'Other building type calculator'!$D$121</definedName>
    <definedName name="Wat01_option07" localSheetId="12">#REF!</definedName>
    <definedName name="Wat01_option07">'Other building type calculator'!$D$122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0" i="21" l="1"/>
  <c r="C74" i="21"/>
  <c r="BL8" i="10"/>
  <c r="BO11" i="10"/>
  <c r="BO10" i="10"/>
  <c r="BO9" i="10"/>
  <c r="BO8" i="10"/>
  <c r="BO7" i="10"/>
  <c r="BL11" i="10"/>
  <c r="BL10" i="10"/>
  <c r="BL9" i="10"/>
  <c r="BL7" i="10"/>
  <c r="BI11" i="10"/>
  <c r="BI10" i="10"/>
  <c r="BI9" i="10"/>
  <c r="BI8" i="10"/>
  <c r="BI7" i="10"/>
  <c r="BF11" i="10"/>
  <c r="BF10" i="10"/>
  <c r="BF9" i="10"/>
  <c r="BF8" i="10"/>
  <c r="BF7" i="10"/>
  <c r="BC7" i="10"/>
  <c r="D77" i="17"/>
  <c r="BC11" i="10"/>
  <c r="BC10" i="10"/>
  <c r="BC9" i="10"/>
  <c r="BC8" i="10"/>
  <c r="E106" i="17"/>
  <c r="E108" i="17" s="1"/>
  <c r="H106" i="17"/>
  <c r="H104" i="17"/>
  <c r="P104" i="17" s="1"/>
  <c r="E111" i="17"/>
  <c r="E15" i="17"/>
  <c r="D106" i="17" s="1"/>
  <c r="G106" i="17"/>
  <c r="P84" i="17"/>
  <c r="M85" i="17" s="1"/>
  <c r="M106" i="17" s="1"/>
  <c r="L85" i="17"/>
  <c r="L106" i="17" s="1"/>
  <c r="N85" i="17"/>
  <c r="N106" i="17" s="1"/>
  <c r="G131" i="17"/>
  <c r="B68" i="14"/>
  <c r="J139" i="17"/>
  <c r="J138" i="17"/>
  <c r="S136" i="25"/>
  <c r="P136" i="25"/>
  <c r="H72" i="14"/>
  <c r="G73" i="17"/>
  <c r="I143" i="17" s="1"/>
  <c r="H13" i="33"/>
  <c r="H14" i="33"/>
  <c r="H15" i="33"/>
  <c r="H18" i="33" s="1"/>
  <c r="H20" i="33" s="1"/>
  <c r="H16" i="33"/>
  <c r="H17" i="33"/>
  <c r="F18" i="33"/>
  <c r="I20" i="33"/>
  <c r="G25" i="33"/>
  <c r="G30" i="33"/>
  <c r="H34" i="33" s="1"/>
  <c r="H25" i="33"/>
  <c r="H30" i="33" s="1"/>
  <c r="H32" i="33" s="1"/>
  <c r="G26" i="33"/>
  <c r="H26" i="33"/>
  <c r="G27" i="33"/>
  <c r="H27" i="33"/>
  <c r="G28" i="33"/>
  <c r="H28" i="33"/>
  <c r="G29" i="33"/>
  <c r="H29" i="33"/>
  <c r="H33" i="33"/>
  <c r="I33" i="33"/>
  <c r="I34" i="33"/>
  <c r="H38" i="33"/>
  <c r="H43" i="33" s="1"/>
  <c r="H45" i="33" s="1"/>
  <c r="H39" i="33"/>
  <c r="H40" i="33"/>
  <c r="H41" i="33"/>
  <c r="H42" i="33"/>
  <c r="F43" i="33"/>
  <c r="I45" i="33"/>
  <c r="H50" i="33"/>
  <c r="H51" i="33"/>
  <c r="H52" i="33"/>
  <c r="H53" i="33"/>
  <c r="H55" i="33" s="1"/>
  <c r="H57" i="33" s="1"/>
  <c r="H54" i="33"/>
  <c r="F55" i="33"/>
  <c r="I57" i="33" s="1"/>
  <c r="H59" i="33"/>
  <c r="H64" i="33"/>
  <c r="H65" i="33"/>
  <c r="H66" i="33"/>
  <c r="H67" i="33"/>
  <c r="H69" i="33" s="1"/>
  <c r="H71" i="33" s="1"/>
  <c r="H68" i="33"/>
  <c r="F69" i="33"/>
  <c r="H73" i="33"/>
  <c r="H78" i="33"/>
  <c r="H83" i="33" s="1"/>
  <c r="H85" i="33" s="1"/>
  <c r="H79" i="33"/>
  <c r="H80" i="33"/>
  <c r="H81" i="33"/>
  <c r="H82" i="33"/>
  <c r="F83" i="33"/>
  <c r="I85" i="33"/>
  <c r="H87" i="33"/>
  <c r="H92" i="33"/>
  <c r="H93" i="33"/>
  <c r="H94" i="33"/>
  <c r="H95" i="33"/>
  <c r="H96" i="33"/>
  <c r="H97" i="33" s="1"/>
  <c r="H99" i="33" s="1"/>
  <c r="F97" i="33"/>
  <c r="I99" i="33"/>
  <c r="H101" i="33"/>
  <c r="O21" i="17"/>
  <c r="N21" i="17"/>
  <c r="M21" i="17"/>
  <c r="L21" i="17"/>
  <c r="K21" i="17"/>
  <c r="J21" i="17"/>
  <c r="I21" i="17"/>
  <c r="I53" i="17"/>
  <c r="H21" i="17"/>
  <c r="D111" i="17"/>
  <c r="D116" i="17" s="1"/>
  <c r="E53" i="17"/>
  <c r="B21" i="21"/>
  <c r="N137" i="21" s="1"/>
  <c r="A71" i="17"/>
  <c r="A67" i="17"/>
  <c r="A65" i="17"/>
  <c r="A63" i="17"/>
  <c r="R9" i="17"/>
  <c r="H15" i="21"/>
  <c r="A5" i="17"/>
  <c r="P5" i="17"/>
  <c r="B10" i="17"/>
  <c r="B9" i="17"/>
  <c r="I9" i="17"/>
  <c r="D51" i="17"/>
  <c r="E51" i="17"/>
  <c r="F51" i="17"/>
  <c r="F53" i="17"/>
  <c r="G51" i="17"/>
  <c r="H51" i="17"/>
  <c r="I51" i="17"/>
  <c r="J51" i="17"/>
  <c r="K51" i="17"/>
  <c r="L51" i="17"/>
  <c r="M51" i="17"/>
  <c r="N51" i="17"/>
  <c r="O51" i="17"/>
  <c r="E102" i="17"/>
  <c r="F102" i="17"/>
  <c r="G102" i="17"/>
  <c r="I102" i="17"/>
  <c r="J102" i="17"/>
  <c r="K102" i="17"/>
  <c r="L102" i="17"/>
  <c r="M102" i="17"/>
  <c r="N102" i="17"/>
  <c r="O102" i="17"/>
  <c r="D102" i="17"/>
  <c r="E90" i="17"/>
  <c r="F90" i="17"/>
  <c r="G90" i="17"/>
  <c r="I90" i="17"/>
  <c r="J90" i="17"/>
  <c r="K90" i="17"/>
  <c r="L90" i="17"/>
  <c r="M90" i="17"/>
  <c r="N90" i="17"/>
  <c r="O90" i="17"/>
  <c r="H91" i="17"/>
  <c r="J91" i="17"/>
  <c r="O91" i="17"/>
  <c r="D90" i="17"/>
  <c r="P94" i="17"/>
  <c r="E88" i="17"/>
  <c r="E100" i="17"/>
  <c r="F88" i="17"/>
  <c r="G88" i="17"/>
  <c r="H88" i="17"/>
  <c r="I88" i="17"/>
  <c r="J88" i="17"/>
  <c r="K88" i="17"/>
  <c r="L88" i="17"/>
  <c r="L100" i="17"/>
  <c r="M88" i="17"/>
  <c r="M100" i="17" s="1"/>
  <c r="N88" i="17"/>
  <c r="N98" i="17"/>
  <c r="O88" i="17"/>
  <c r="J89" i="17"/>
  <c r="D88" i="17"/>
  <c r="D98" i="17"/>
  <c r="D86" i="17"/>
  <c r="E86" i="17"/>
  <c r="F86" i="17"/>
  <c r="G86" i="17"/>
  <c r="H86" i="17"/>
  <c r="I86" i="17"/>
  <c r="J86" i="17"/>
  <c r="K86" i="17"/>
  <c r="L86" i="17"/>
  <c r="M86" i="17"/>
  <c r="N86" i="17"/>
  <c r="O86" i="17"/>
  <c r="J87" i="17"/>
  <c r="P92" i="17"/>
  <c r="N95" i="17"/>
  <c r="A16" i="21"/>
  <c r="Y47" i="10"/>
  <c r="Z47" i="10"/>
  <c r="Z15" i="10"/>
  <c r="Z6" i="10"/>
  <c r="Y6" i="10"/>
  <c r="A25" i="25"/>
  <c r="A24" i="25"/>
  <c r="A23" i="25"/>
  <c r="A22" i="25"/>
  <c r="A21" i="25"/>
  <c r="A20" i="25"/>
  <c r="A19" i="25"/>
  <c r="G75" i="25"/>
  <c r="G74" i="25"/>
  <c r="G73" i="25"/>
  <c r="G72" i="25"/>
  <c r="B72" i="25"/>
  <c r="B73" i="25"/>
  <c r="H13" i="25"/>
  <c r="A14" i="25"/>
  <c r="B75" i="25"/>
  <c r="B74" i="25"/>
  <c r="C15" i="10"/>
  <c r="AN40" i="10"/>
  <c r="AN37" i="10"/>
  <c r="AN34" i="10"/>
  <c r="AN31" i="10"/>
  <c r="H15" i="25"/>
  <c r="H119" i="25"/>
  <c r="O134" i="25"/>
  <c r="P132" i="25"/>
  <c r="P133" i="25"/>
  <c r="B20" i="25"/>
  <c r="B21" i="25"/>
  <c r="N134" i="25" s="1"/>
  <c r="B22" i="25"/>
  <c r="N135" i="25" s="1"/>
  <c r="B23" i="25"/>
  <c r="N136" i="25" s="1"/>
  <c r="B24" i="25"/>
  <c r="N137" i="25" s="1"/>
  <c r="B25" i="25"/>
  <c r="N138" i="25" s="1"/>
  <c r="P138" i="25"/>
  <c r="H18" i="25"/>
  <c r="F359" i="27"/>
  <c r="F358" i="27"/>
  <c r="F357" i="27"/>
  <c r="F356" i="27"/>
  <c r="F355" i="27"/>
  <c r="F354" i="27"/>
  <c r="F353" i="27"/>
  <c r="F352" i="27"/>
  <c r="F351" i="27"/>
  <c r="F350" i="27"/>
  <c r="F349" i="27"/>
  <c r="F348" i="27"/>
  <c r="F347" i="27"/>
  <c r="F346" i="27"/>
  <c r="F345" i="27"/>
  <c r="F344" i="27"/>
  <c r="F343" i="27"/>
  <c r="F342" i="27"/>
  <c r="F341" i="27"/>
  <c r="F340" i="27"/>
  <c r="F339" i="27"/>
  <c r="F338" i="27"/>
  <c r="F337" i="27"/>
  <c r="F336" i="27"/>
  <c r="F335" i="27"/>
  <c r="F334" i="27"/>
  <c r="F333" i="27"/>
  <c r="F332" i="27"/>
  <c r="F331" i="27"/>
  <c r="F330" i="27"/>
  <c r="F329" i="27"/>
  <c r="F328" i="27"/>
  <c r="F327" i="27"/>
  <c r="F326" i="27"/>
  <c r="F325" i="27"/>
  <c r="F324" i="27"/>
  <c r="F323" i="27"/>
  <c r="F322" i="27"/>
  <c r="F321" i="27"/>
  <c r="F320" i="27"/>
  <c r="F319" i="27"/>
  <c r="F318" i="27"/>
  <c r="F317" i="27"/>
  <c r="F316" i="27"/>
  <c r="F315" i="27"/>
  <c r="F314" i="27"/>
  <c r="F313" i="27"/>
  <c r="F312" i="27"/>
  <c r="F311" i="27"/>
  <c r="F310" i="27"/>
  <c r="F309" i="27"/>
  <c r="F308" i="27"/>
  <c r="F307" i="27"/>
  <c r="F306" i="27"/>
  <c r="F305" i="27"/>
  <c r="F304" i="27"/>
  <c r="F303" i="27"/>
  <c r="F302" i="27"/>
  <c r="F301" i="27"/>
  <c r="F300" i="27"/>
  <c r="F299" i="27"/>
  <c r="F298" i="27"/>
  <c r="F297" i="27"/>
  <c r="F296" i="27"/>
  <c r="F295" i="27"/>
  <c r="F294" i="27"/>
  <c r="F293" i="27"/>
  <c r="F292" i="27"/>
  <c r="F291" i="27"/>
  <c r="F290" i="27"/>
  <c r="F289" i="27"/>
  <c r="F288" i="27"/>
  <c r="F287" i="27"/>
  <c r="F286" i="27"/>
  <c r="F285" i="27"/>
  <c r="F284" i="27"/>
  <c r="F283" i="27"/>
  <c r="F282" i="27"/>
  <c r="F281" i="27"/>
  <c r="F280" i="27"/>
  <c r="F279" i="27"/>
  <c r="F278" i="27"/>
  <c r="F277" i="27"/>
  <c r="F276" i="27"/>
  <c r="F275" i="27"/>
  <c r="F274" i="27"/>
  <c r="F273" i="27"/>
  <c r="F272" i="27"/>
  <c r="F271" i="27"/>
  <c r="F270" i="27"/>
  <c r="F269" i="27"/>
  <c r="F268" i="27"/>
  <c r="F267" i="27"/>
  <c r="F266" i="27"/>
  <c r="F265" i="27"/>
  <c r="F264" i="27"/>
  <c r="F263" i="27"/>
  <c r="F262" i="27"/>
  <c r="F261" i="27"/>
  <c r="F260" i="27"/>
  <c r="F259" i="27"/>
  <c r="F258" i="27"/>
  <c r="F257" i="27"/>
  <c r="F256" i="27"/>
  <c r="F255" i="27"/>
  <c r="F254" i="27"/>
  <c r="F253" i="27"/>
  <c r="F252" i="27"/>
  <c r="F251" i="27"/>
  <c r="F250" i="27"/>
  <c r="F249" i="27"/>
  <c r="F248" i="27"/>
  <c r="F247" i="27"/>
  <c r="F246" i="27"/>
  <c r="F245" i="27"/>
  <c r="F244" i="27"/>
  <c r="F243" i="27"/>
  <c r="F242" i="27"/>
  <c r="F241" i="27"/>
  <c r="F240" i="27"/>
  <c r="F239" i="27"/>
  <c r="F238" i="27"/>
  <c r="F237" i="27"/>
  <c r="F236" i="27"/>
  <c r="F235" i="27"/>
  <c r="F234" i="27"/>
  <c r="F233" i="27"/>
  <c r="F232" i="27"/>
  <c r="F231" i="27"/>
  <c r="F230" i="27"/>
  <c r="F229" i="27"/>
  <c r="F228" i="27"/>
  <c r="F227" i="27"/>
  <c r="F226" i="27"/>
  <c r="F225" i="27"/>
  <c r="F224" i="27"/>
  <c r="F223" i="27"/>
  <c r="F222" i="27"/>
  <c r="F221" i="27"/>
  <c r="F220" i="27"/>
  <c r="F219" i="27"/>
  <c r="F218" i="27"/>
  <c r="F217" i="27"/>
  <c r="F216" i="27"/>
  <c r="F215" i="27"/>
  <c r="F214" i="27"/>
  <c r="F213" i="27"/>
  <c r="F212" i="27"/>
  <c r="F211" i="27"/>
  <c r="F210" i="27"/>
  <c r="F209" i="27"/>
  <c r="F208" i="27"/>
  <c r="F207" i="27"/>
  <c r="F206" i="27"/>
  <c r="F205" i="27"/>
  <c r="F204" i="27"/>
  <c r="F203" i="27"/>
  <c r="F202" i="27"/>
  <c r="F201" i="27"/>
  <c r="F200" i="27"/>
  <c r="F199" i="27"/>
  <c r="F198" i="27"/>
  <c r="F197" i="27"/>
  <c r="F196" i="27"/>
  <c r="F195" i="27"/>
  <c r="F194" i="27"/>
  <c r="F193" i="27"/>
  <c r="F192" i="27"/>
  <c r="F191" i="27"/>
  <c r="F190" i="27"/>
  <c r="F189" i="27"/>
  <c r="F188" i="27"/>
  <c r="F187" i="27"/>
  <c r="F186" i="27"/>
  <c r="F185" i="27"/>
  <c r="F184" i="27"/>
  <c r="F183" i="27"/>
  <c r="F182" i="27"/>
  <c r="F181" i="27"/>
  <c r="F180" i="27"/>
  <c r="F179" i="27"/>
  <c r="F178" i="27"/>
  <c r="F177" i="27"/>
  <c r="F176" i="27"/>
  <c r="F175" i="27"/>
  <c r="F174" i="27"/>
  <c r="F173" i="27"/>
  <c r="F172" i="27"/>
  <c r="F171" i="27"/>
  <c r="F170" i="27"/>
  <c r="F169" i="27"/>
  <c r="F168" i="27"/>
  <c r="F167" i="27"/>
  <c r="F166" i="27"/>
  <c r="F165" i="27"/>
  <c r="F164" i="27"/>
  <c r="F163" i="27"/>
  <c r="F162" i="27"/>
  <c r="F161" i="27"/>
  <c r="F160" i="27"/>
  <c r="F159" i="27"/>
  <c r="F158" i="27"/>
  <c r="F157" i="27"/>
  <c r="F156" i="27"/>
  <c r="F155" i="27"/>
  <c r="F154" i="27"/>
  <c r="F153" i="27"/>
  <c r="F152" i="27"/>
  <c r="F151" i="27"/>
  <c r="F150" i="27"/>
  <c r="F149" i="27"/>
  <c r="F148" i="27"/>
  <c r="F147" i="27"/>
  <c r="F146" i="27"/>
  <c r="F145" i="27"/>
  <c r="F144" i="27"/>
  <c r="F143" i="27"/>
  <c r="F142" i="27"/>
  <c r="F141" i="27"/>
  <c r="F140" i="27"/>
  <c r="F139" i="27"/>
  <c r="F138" i="27"/>
  <c r="F137" i="27"/>
  <c r="F136" i="27"/>
  <c r="F135" i="27"/>
  <c r="F134" i="27"/>
  <c r="F133" i="27"/>
  <c r="F132" i="27"/>
  <c r="F131" i="27"/>
  <c r="F130" i="27"/>
  <c r="F129" i="27"/>
  <c r="F128" i="27"/>
  <c r="F127" i="27"/>
  <c r="F126" i="27"/>
  <c r="F125" i="27"/>
  <c r="F124" i="27"/>
  <c r="F123" i="27"/>
  <c r="F122" i="27"/>
  <c r="F121" i="27"/>
  <c r="F120" i="27"/>
  <c r="F119" i="27"/>
  <c r="F118" i="27"/>
  <c r="F117" i="27"/>
  <c r="F116" i="27"/>
  <c r="F115" i="27"/>
  <c r="F114" i="27"/>
  <c r="F113" i="27"/>
  <c r="F112" i="27"/>
  <c r="F111" i="27"/>
  <c r="F110" i="27"/>
  <c r="F109" i="27"/>
  <c r="F108" i="27"/>
  <c r="F107" i="27"/>
  <c r="F106" i="27"/>
  <c r="F105" i="27"/>
  <c r="F104" i="27"/>
  <c r="F103" i="27"/>
  <c r="F102" i="27"/>
  <c r="F101" i="27"/>
  <c r="F100" i="27"/>
  <c r="F99" i="27"/>
  <c r="F98" i="27"/>
  <c r="F97" i="27"/>
  <c r="F96" i="27"/>
  <c r="F95" i="27"/>
  <c r="F94" i="27"/>
  <c r="F93" i="27"/>
  <c r="F92" i="27"/>
  <c r="F91" i="27"/>
  <c r="F90" i="27"/>
  <c r="F89" i="27"/>
  <c r="F88" i="27"/>
  <c r="F87" i="27"/>
  <c r="F86" i="27"/>
  <c r="F85" i="27"/>
  <c r="F84" i="27"/>
  <c r="F83" i="27"/>
  <c r="F82" i="27"/>
  <c r="F81" i="27"/>
  <c r="F80" i="27"/>
  <c r="F79" i="27"/>
  <c r="F78" i="27"/>
  <c r="F77" i="27"/>
  <c r="F76" i="27"/>
  <c r="F75" i="27"/>
  <c r="F74" i="27"/>
  <c r="F73" i="27"/>
  <c r="F72" i="27"/>
  <c r="F71" i="27"/>
  <c r="F70" i="27"/>
  <c r="F69" i="27"/>
  <c r="F68" i="27"/>
  <c r="F67" i="27"/>
  <c r="F66" i="27"/>
  <c r="F65" i="27"/>
  <c r="F64" i="27"/>
  <c r="F63" i="27"/>
  <c r="F62" i="27"/>
  <c r="F61" i="27"/>
  <c r="F60" i="27"/>
  <c r="F59" i="27"/>
  <c r="F58" i="27"/>
  <c r="F57" i="27"/>
  <c r="F56" i="27"/>
  <c r="F55" i="27"/>
  <c r="F54" i="27"/>
  <c r="F53" i="27"/>
  <c r="F52" i="27"/>
  <c r="F51" i="27"/>
  <c r="F50" i="27"/>
  <c r="F49" i="27"/>
  <c r="F48" i="27"/>
  <c r="F47" i="27"/>
  <c r="F46" i="27"/>
  <c r="F45" i="27"/>
  <c r="F44" i="27"/>
  <c r="F43" i="27"/>
  <c r="F42" i="27"/>
  <c r="F41" i="27"/>
  <c r="F40" i="27"/>
  <c r="F39" i="27"/>
  <c r="F38" i="27"/>
  <c r="F37" i="27"/>
  <c r="F36" i="27"/>
  <c r="F35" i="27"/>
  <c r="F34" i="27"/>
  <c r="F33" i="27"/>
  <c r="F32" i="27"/>
  <c r="F31" i="27"/>
  <c r="F30" i="27"/>
  <c r="F29" i="27"/>
  <c r="F28" i="27"/>
  <c r="F27" i="27"/>
  <c r="F26" i="27"/>
  <c r="F25" i="27"/>
  <c r="F24" i="27"/>
  <c r="F23" i="27"/>
  <c r="F22" i="27"/>
  <c r="F21" i="27"/>
  <c r="F20" i="27"/>
  <c r="F19" i="27"/>
  <c r="F18" i="27"/>
  <c r="F17" i="27"/>
  <c r="F16" i="27"/>
  <c r="F15" i="27"/>
  <c r="F14" i="27"/>
  <c r="F13" i="27"/>
  <c r="F12" i="27"/>
  <c r="F11" i="27"/>
  <c r="F10" i="27"/>
  <c r="F9" i="27"/>
  <c r="B19" i="25"/>
  <c r="N132" i="25" s="1"/>
  <c r="S137" i="25"/>
  <c r="S138" i="25"/>
  <c r="S135" i="25"/>
  <c r="S132" i="25"/>
  <c r="A40" i="25" s="1"/>
  <c r="S131" i="25"/>
  <c r="C110" i="25"/>
  <c r="C107" i="25"/>
  <c r="C102" i="25"/>
  <c r="E94" i="25"/>
  <c r="F91" i="25"/>
  <c r="A91" i="25"/>
  <c r="A88" i="25"/>
  <c r="A86" i="25"/>
  <c r="F79" i="25"/>
  <c r="H78" i="25"/>
  <c r="G77" i="25"/>
  <c r="B71" i="25"/>
  <c r="B70" i="25"/>
  <c r="A67" i="25"/>
  <c r="Q60" i="25"/>
  <c r="B60" i="25"/>
  <c r="O60" i="25" s="1"/>
  <c r="Q59" i="25"/>
  <c r="B59" i="25"/>
  <c r="O59" i="25" s="1"/>
  <c r="S58" i="25"/>
  <c r="P58" i="25"/>
  <c r="B58" i="25"/>
  <c r="C77" i="25" s="1"/>
  <c r="Q57" i="25"/>
  <c r="B57" i="25"/>
  <c r="O57" i="25" s="1"/>
  <c r="Q56" i="25"/>
  <c r="P56" i="25"/>
  <c r="B56" i="25"/>
  <c r="O56" i="25" s="1"/>
  <c r="Q55" i="25"/>
  <c r="B55" i="25"/>
  <c r="C74" i="25" s="1"/>
  <c r="P53" i="25"/>
  <c r="B53" i="25"/>
  <c r="O53" i="25" s="1"/>
  <c r="P52" i="25"/>
  <c r="B52" i="25"/>
  <c r="C72" i="25" s="1"/>
  <c r="B50" i="25"/>
  <c r="O50" i="25" s="1"/>
  <c r="S49" i="25"/>
  <c r="P49" i="25"/>
  <c r="B49" i="25"/>
  <c r="O49" i="25" s="1"/>
  <c r="S48" i="25"/>
  <c r="P48" i="25"/>
  <c r="B48" i="25"/>
  <c r="O48" i="25" s="1"/>
  <c r="S47" i="25"/>
  <c r="P47" i="25"/>
  <c r="B47" i="25"/>
  <c r="O47" i="25" s="1"/>
  <c r="P46" i="25"/>
  <c r="B46" i="25"/>
  <c r="O46" i="25" s="1"/>
  <c r="B45" i="25"/>
  <c r="C70" i="25" s="1"/>
  <c r="A41" i="25"/>
  <c r="P40" i="25"/>
  <c r="O40" i="25"/>
  <c r="G40" i="25"/>
  <c r="A38" i="25"/>
  <c r="P37" i="25"/>
  <c r="O37" i="25"/>
  <c r="A35" i="25"/>
  <c r="P34" i="25"/>
  <c r="O34" i="25"/>
  <c r="A34" i="25"/>
  <c r="B31" i="25"/>
  <c r="O31" i="25" s="1"/>
  <c r="P31" i="25" s="1"/>
  <c r="O30" i="25"/>
  <c r="P30" i="25"/>
  <c r="H30" i="25"/>
  <c r="A30" i="25"/>
  <c r="A13" i="25"/>
  <c r="E52" i="21"/>
  <c r="P52" i="21" s="1"/>
  <c r="F45" i="21"/>
  <c r="Q45" i="21" s="1"/>
  <c r="E45" i="21"/>
  <c r="P45" i="21" s="1"/>
  <c r="G40" i="21"/>
  <c r="F40" i="21"/>
  <c r="Q40" i="21" s="1"/>
  <c r="E40" i="21"/>
  <c r="P40" i="21" s="1"/>
  <c r="F37" i="21"/>
  <c r="Q37" i="21" s="1"/>
  <c r="E37" i="21"/>
  <c r="P37" i="21" s="1"/>
  <c r="F31" i="21"/>
  <c r="Q31" i="21" s="1"/>
  <c r="F30" i="21"/>
  <c r="Q30" i="21" s="1"/>
  <c r="E31" i="21"/>
  <c r="P31" i="21" s="1"/>
  <c r="G47" i="20"/>
  <c r="R47" i="20" s="1"/>
  <c r="AD18" i="10"/>
  <c r="F46" i="21" s="1"/>
  <c r="Q46" i="21" s="1"/>
  <c r="N18" i="10"/>
  <c r="AD17" i="10"/>
  <c r="N17" i="10"/>
  <c r="B46" i="21"/>
  <c r="N46" i="21" s="1"/>
  <c r="N19" i="10"/>
  <c r="N20" i="10"/>
  <c r="A30" i="21"/>
  <c r="G79" i="21"/>
  <c r="G76" i="20"/>
  <c r="G75" i="21"/>
  <c r="B24" i="21"/>
  <c r="N140" i="21" s="1"/>
  <c r="A20" i="21"/>
  <c r="A19" i="21"/>
  <c r="A18" i="21"/>
  <c r="A17" i="21"/>
  <c r="R135" i="21"/>
  <c r="A23" i="21" s="1"/>
  <c r="R136" i="21"/>
  <c r="R137" i="21"/>
  <c r="R138" i="21"/>
  <c r="H15" i="20"/>
  <c r="J8" i="21"/>
  <c r="J7" i="21"/>
  <c r="B64" i="14"/>
  <c r="G74" i="20"/>
  <c r="G72" i="20"/>
  <c r="G71" i="20"/>
  <c r="G70" i="20"/>
  <c r="G69" i="20"/>
  <c r="G68" i="20"/>
  <c r="G37" i="20"/>
  <c r="F42" i="20"/>
  <c r="Q42" i="20" s="1"/>
  <c r="F43" i="20"/>
  <c r="Q43" i="20" s="1"/>
  <c r="E42" i="20"/>
  <c r="P42" i="20" s="1"/>
  <c r="F37" i="20"/>
  <c r="Q37" i="20" s="1"/>
  <c r="E37" i="20"/>
  <c r="P37" i="20" s="1"/>
  <c r="F34" i="20"/>
  <c r="Q34" i="20" s="1"/>
  <c r="E34" i="20"/>
  <c r="P34" i="20" s="1"/>
  <c r="F28" i="20"/>
  <c r="Q28" i="20" s="1"/>
  <c r="F27" i="20"/>
  <c r="Q27" i="20" s="1"/>
  <c r="E28" i="20"/>
  <c r="P28" i="20" s="1"/>
  <c r="E27" i="20"/>
  <c r="P27" i="20" s="1"/>
  <c r="C110" i="21"/>
  <c r="C107" i="21"/>
  <c r="C102" i="21"/>
  <c r="E94" i="21"/>
  <c r="A91" i="21"/>
  <c r="A88" i="21"/>
  <c r="A86" i="21"/>
  <c r="B71" i="21"/>
  <c r="B72" i="21"/>
  <c r="B73" i="21"/>
  <c r="B70" i="21"/>
  <c r="A67" i="21"/>
  <c r="A41" i="21"/>
  <c r="A38" i="21"/>
  <c r="A35" i="21"/>
  <c r="A34" i="21"/>
  <c r="A13" i="21"/>
  <c r="C107" i="20"/>
  <c r="C104" i="20"/>
  <c r="C99" i="20"/>
  <c r="E91" i="20"/>
  <c r="A88" i="20"/>
  <c r="A85" i="20"/>
  <c r="A83" i="20"/>
  <c r="B72" i="20"/>
  <c r="B71" i="20"/>
  <c r="B70" i="20"/>
  <c r="B69" i="20"/>
  <c r="B68" i="20"/>
  <c r="B67" i="20"/>
  <c r="A64" i="20"/>
  <c r="A38" i="20"/>
  <c r="A35" i="20"/>
  <c r="A32" i="20"/>
  <c r="A31" i="20"/>
  <c r="A27" i="20"/>
  <c r="J5" i="20"/>
  <c r="A13" i="20"/>
  <c r="A21" i="20"/>
  <c r="A17" i="20"/>
  <c r="A18" i="20"/>
  <c r="A19" i="20"/>
  <c r="A20" i="20"/>
  <c r="A16" i="20"/>
  <c r="A16" i="14"/>
  <c r="A17" i="14"/>
  <c r="A18" i="14"/>
  <c r="C104" i="14"/>
  <c r="C101" i="14"/>
  <c r="C96" i="14"/>
  <c r="E88" i="14"/>
  <c r="A85" i="14"/>
  <c r="A82" i="14"/>
  <c r="B65" i="14"/>
  <c r="B66" i="14"/>
  <c r="B67" i="14"/>
  <c r="B69" i="14"/>
  <c r="B70" i="14"/>
  <c r="B71" i="14"/>
  <c r="A35" i="14"/>
  <c r="A32" i="14"/>
  <c r="A28" i="14"/>
  <c r="A29" i="14"/>
  <c r="A24" i="14"/>
  <c r="A61" i="14"/>
  <c r="A80" i="14"/>
  <c r="A19" i="14"/>
  <c r="O37" i="21"/>
  <c r="O34" i="21"/>
  <c r="O40" i="21"/>
  <c r="N40" i="21"/>
  <c r="N37" i="21"/>
  <c r="N34" i="21"/>
  <c r="O34" i="14"/>
  <c r="O31" i="14"/>
  <c r="O37" i="20"/>
  <c r="O34" i="20"/>
  <c r="O31" i="20"/>
  <c r="O28" i="14"/>
  <c r="N28" i="14"/>
  <c r="N34" i="14"/>
  <c r="N31" i="14"/>
  <c r="N37" i="20"/>
  <c r="N31" i="20"/>
  <c r="N34" i="20"/>
  <c r="N48" i="14"/>
  <c r="N45" i="14"/>
  <c r="N38" i="14"/>
  <c r="N23" i="14"/>
  <c r="R136" i="20"/>
  <c r="H22" i="20" s="1"/>
  <c r="R135" i="20"/>
  <c r="B17" i="21"/>
  <c r="B18" i="21"/>
  <c r="B22" i="21"/>
  <c r="N138" i="21" s="1"/>
  <c r="B23" i="21"/>
  <c r="B25" i="21"/>
  <c r="N141" i="21" s="1"/>
  <c r="B19" i="21"/>
  <c r="N135" i="21" s="1"/>
  <c r="AT18" i="10"/>
  <c r="R132" i="21"/>
  <c r="C103" i="21" s="1"/>
  <c r="R131" i="21"/>
  <c r="E30" i="21" s="1"/>
  <c r="P30" i="21" s="1"/>
  <c r="F91" i="21"/>
  <c r="F79" i="21"/>
  <c r="H78" i="21"/>
  <c r="G77" i="21"/>
  <c r="P60" i="21"/>
  <c r="B60" i="21"/>
  <c r="N60" i="21" s="1"/>
  <c r="P59" i="21"/>
  <c r="B59" i="21"/>
  <c r="N59" i="21" s="1"/>
  <c r="R58" i="21"/>
  <c r="O58" i="21"/>
  <c r="B58" i="21"/>
  <c r="C77" i="21" s="1"/>
  <c r="P57" i="21"/>
  <c r="B57" i="21"/>
  <c r="N57" i="21" s="1"/>
  <c r="O57" i="21" s="1"/>
  <c r="P56" i="21"/>
  <c r="O56" i="21"/>
  <c r="B56" i="21"/>
  <c r="N56" i="21" s="1"/>
  <c r="P55" i="21"/>
  <c r="B55" i="21"/>
  <c r="O53" i="21"/>
  <c r="B53" i="21"/>
  <c r="N53" i="21" s="1"/>
  <c r="B52" i="21"/>
  <c r="B50" i="21"/>
  <c r="N50" i="21" s="1"/>
  <c r="R49" i="21"/>
  <c r="O49" i="21"/>
  <c r="B49" i="21"/>
  <c r="N49" i="21" s="1"/>
  <c r="R48" i="21"/>
  <c r="O48" i="21"/>
  <c r="B48" i="21"/>
  <c r="N48" i="21" s="1"/>
  <c r="R47" i="21"/>
  <c r="O47" i="21"/>
  <c r="B47" i="21"/>
  <c r="N47" i="21" s="1"/>
  <c r="O46" i="21"/>
  <c r="B45" i="21"/>
  <c r="N45" i="21" s="1"/>
  <c r="O45" i="21" s="1"/>
  <c r="B31" i="21"/>
  <c r="N31" i="21" s="1"/>
  <c r="O31" i="21" s="1"/>
  <c r="N30" i="21"/>
  <c r="O30" i="21"/>
  <c r="H30" i="21"/>
  <c r="H20" i="21"/>
  <c r="H75" i="20"/>
  <c r="O136" i="20"/>
  <c r="O132" i="20"/>
  <c r="B18" i="20"/>
  <c r="C18" i="20" s="1"/>
  <c r="O133" i="20"/>
  <c r="B19" i="20"/>
  <c r="E49" i="20" s="1"/>
  <c r="P49" i="20" s="1"/>
  <c r="B20" i="20"/>
  <c r="F53" i="20" s="1"/>
  <c r="Q53" i="20" s="1"/>
  <c r="B21" i="20"/>
  <c r="C21" i="20" s="1"/>
  <c r="B17" i="20"/>
  <c r="C17" i="20" s="1"/>
  <c r="B16" i="20"/>
  <c r="O131" i="20"/>
  <c r="R131" i="20"/>
  <c r="R130" i="20"/>
  <c r="F88" i="20"/>
  <c r="F76" i="20"/>
  <c r="P57" i="20"/>
  <c r="B57" i="20"/>
  <c r="N57" i="20" s="1"/>
  <c r="P56" i="20"/>
  <c r="B56" i="20"/>
  <c r="N56" i="20" s="1"/>
  <c r="R55" i="20"/>
  <c r="O55" i="20"/>
  <c r="B55" i="20"/>
  <c r="C74" i="20" s="1"/>
  <c r="P54" i="20"/>
  <c r="B54" i="20"/>
  <c r="N54" i="20" s="1"/>
  <c r="P53" i="20"/>
  <c r="O53" i="20"/>
  <c r="B53" i="20"/>
  <c r="N53" i="20" s="1"/>
  <c r="P52" i="20"/>
  <c r="B52" i="20"/>
  <c r="O50" i="20"/>
  <c r="B50" i="20"/>
  <c r="N50" i="20" s="1"/>
  <c r="B49" i="20"/>
  <c r="N49" i="20" s="1"/>
  <c r="B47" i="20"/>
  <c r="N47" i="20" s="1"/>
  <c r="R46" i="20"/>
  <c r="O46" i="20"/>
  <c r="B46" i="20"/>
  <c r="N46" i="20" s="1"/>
  <c r="R45" i="20"/>
  <c r="O45" i="20"/>
  <c r="B45" i="20"/>
  <c r="N45" i="20" s="1"/>
  <c r="R44" i="20"/>
  <c r="O44" i="20"/>
  <c r="B44" i="20"/>
  <c r="N44" i="20" s="1"/>
  <c r="O43" i="20"/>
  <c r="B43" i="20"/>
  <c r="N43" i="20" s="1"/>
  <c r="B42" i="20"/>
  <c r="C67" i="20" s="1"/>
  <c r="B28" i="20"/>
  <c r="N28" i="20" s="1"/>
  <c r="O28" i="20"/>
  <c r="N27" i="20"/>
  <c r="O27" i="20"/>
  <c r="H27" i="20"/>
  <c r="H21" i="20"/>
  <c r="G69" i="14"/>
  <c r="G68" i="14"/>
  <c r="G66" i="14"/>
  <c r="G65" i="14"/>
  <c r="G64" i="14"/>
  <c r="P96" i="17"/>
  <c r="F97" i="17" s="1"/>
  <c r="H19" i="14"/>
  <c r="H24" i="14"/>
  <c r="F73" i="14"/>
  <c r="G73" i="14"/>
  <c r="R42" i="14"/>
  <c r="R43" i="14"/>
  <c r="R52" i="14"/>
  <c r="F85" i="14"/>
  <c r="O40" i="14"/>
  <c r="O47" i="14"/>
  <c r="O50" i="14"/>
  <c r="R131" i="14"/>
  <c r="C97" i="14" s="1"/>
  <c r="B13" i="14"/>
  <c r="F43" i="14" s="1"/>
  <c r="Q43" i="14" s="1"/>
  <c r="B16" i="14"/>
  <c r="N131" i="14" s="1"/>
  <c r="B17" i="14"/>
  <c r="N133" i="14" s="1"/>
  <c r="B18" i="14"/>
  <c r="F51" i="14" s="1"/>
  <c r="Q51" i="14" s="1"/>
  <c r="B19" i="14"/>
  <c r="C19" i="14" s="1"/>
  <c r="R130" i="14"/>
  <c r="N24" i="14"/>
  <c r="O24" i="14"/>
  <c r="B25" i="14"/>
  <c r="N25" i="14" s="1"/>
  <c r="O25" i="14"/>
  <c r="B39" i="14"/>
  <c r="B46" i="14"/>
  <c r="N46" i="14" s="1"/>
  <c r="O46" i="14"/>
  <c r="B49" i="14"/>
  <c r="N49" i="14" s="1"/>
  <c r="O49" i="14"/>
  <c r="B51" i="14"/>
  <c r="N51" i="14" s="1"/>
  <c r="O51" i="14"/>
  <c r="P53" i="14"/>
  <c r="P54" i="14"/>
  <c r="P50" i="14"/>
  <c r="P51" i="14"/>
  <c r="P49" i="14"/>
  <c r="O52" i="14"/>
  <c r="O41" i="14"/>
  <c r="B50" i="14"/>
  <c r="N50" i="14" s="1"/>
  <c r="O42" i="14"/>
  <c r="O43" i="14"/>
  <c r="B52" i="14"/>
  <c r="C71" i="14" s="1"/>
  <c r="B53" i="14"/>
  <c r="N53" i="14" s="1"/>
  <c r="B54" i="14"/>
  <c r="N54" i="14" s="1"/>
  <c r="B47" i="14"/>
  <c r="N47" i="14" s="1"/>
  <c r="B40" i="14"/>
  <c r="N40" i="14" s="1"/>
  <c r="B41" i="14"/>
  <c r="N41" i="14" s="1"/>
  <c r="B42" i="14"/>
  <c r="N42" i="14" s="1"/>
  <c r="B43" i="14"/>
  <c r="N43" i="14" s="1"/>
  <c r="B44" i="14"/>
  <c r="N44" i="14" s="1"/>
  <c r="G71" i="14"/>
  <c r="R41" i="14"/>
  <c r="O137" i="14"/>
  <c r="O133" i="14"/>
  <c r="G67" i="14"/>
  <c r="O42" i="20"/>
  <c r="R42" i="20"/>
  <c r="O49" i="20"/>
  <c r="O134" i="20"/>
  <c r="O135" i="20"/>
  <c r="O54" i="20"/>
  <c r="R54" i="20"/>
  <c r="O52" i="20"/>
  <c r="R53" i="20"/>
  <c r="R52" i="20"/>
  <c r="R43" i="20"/>
  <c r="P45" i="25"/>
  <c r="O55" i="25"/>
  <c r="P55" i="25"/>
  <c r="P137" i="25"/>
  <c r="P135" i="25"/>
  <c r="S52" i="25"/>
  <c r="S46" i="25"/>
  <c r="O135" i="14"/>
  <c r="G67" i="20"/>
  <c r="G85" i="17"/>
  <c r="G87" i="17"/>
  <c r="N53" i="17"/>
  <c r="O53" i="17"/>
  <c r="M53" i="17"/>
  <c r="L53" i="17"/>
  <c r="K53" i="17"/>
  <c r="J53" i="17"/>
  <c r="G53" i="17"/>
  <c r="O39" i="14"/>
  <c r="H34" i="20"/>
  <c r="F40" i="14"/>
  <c r="Q40" i="14" s="1"/>
  <c r="D53" i="17"/>
  <c r="G59" i="25"/>
  <c r="S59" i="25" s="1"/>
  <c r="G60" i="25"/>
  <c r="S60" i="25" s="1"/>
  <c r="I32" i="33"/>
  <c r="G54" i="14"/>
  <c r="R54" i="14" s="1"/>
  <c r="R51" i="14"/>
  <c r="G53" i="14"/>
  <c r="R53" i="14" s="1"/>
  <c r="I59" i="33"/>
  <c r="O131" i="14"/>
  <c r="R49" i="20"/>
  <c r="G91" i="25"/>
  <c r="G88" i="14"/>
  <c r="G85" i="14"/>
  <c r="G76" i="14"/>
  <c r="N133" i="25"/>
  <c r="I73" i="33"/>
  <c r="I71" i="33"/>
  <c r="P57" i="25"/>
  <c r="F120" i="14"/>
  <c r="N111" i="17"/>
  <c r="N15" i="17" s="1"/>
  <c r="N18" i="17" s="1"/>
  <c r="K105" i="17"/>
  <c r="K111" i="17"/>
  <c r="K15" i="17" s="1"/>
  <c r="K18" i="17"/>
  <c r="I111" i="17"/>
  <c r="I15" i="17" s="1"/>
  <c r="I18" i="17"/>
  <c r="O18" i="17"/>
  <c r="L105" i="17"/>
  <c r="L111" i="17"/>
  <c r="L15" i="17" s="1"/>
  <c r="L18" i="17" s="1"/>
  <c r="M105" i="17"/>
  <c r="M111" i="17"/>
  <c r="M15" i="17"/>
  <c r="M18" i="17" s="1"/>
  <c r="J18" i="17"/>
  <c r="G50" i="21"/>
  <c r="R50" i="21" s="1"/>
  <c r="O133" i="25"/>
  <c r="S45" i="25"/>
  <c r="S55" i="25"/>
  <c r="S57" i="25"/>
  <c r="S56" i="25"/>
  <c r="G70" i="25"/>
  <c r="G71" i="25"/>
  <c r="O140" i="21"/>
  <c r="O138" i="21"/>
  <c r="O139" i="21"/>
  <c r="O141" i="21"/>
  <c r="O137" i="21"/>
  <c r="O136" i="21"/>
  <c r="R39" i="14"/>
  <c r="R40" i="14"/>
  <c r="R25" i="14"/>
  <c r="R24" i="14"/>
  <c r="R46" i="14"/>
  <c r="R49" i="14"/>
  <c r="R50" i="14"/>
  <c r="E98" i="17"/>
  <c r="M89" i="17"/>
  <c r="I85" i="17"/>
  <c r="I87" i="17" s="1"/>
  <c r="D100" i="17"/>
  <c r="N100" i="17"/>
  <c r="I101" i="33"/>
  <c r="L93" i="17"/>
  <c r="G89" i="17"/>
  <c r="I87" i="33"/>
  <c r="O52" i="25"/>
  <c r="D97" i="17"/>
  <c r="D95" i="17"/>
  <c r="G97" i="17"/>
  <c r="D85" i="17"/>
  <c r="D87" i="17" s="1"/>
  <c r="F93" i="17"/>
  <c r="E93" i="17"/>
  <c r="N93" i="17"/>
  <c r="P93" i="17" s="1"/>
  <c r="D93" i="17"/>
  <c r="E95" i="17"/>
  <c r="F95" i="17"/>
  <c r="L95" i="17"/>
  <c r="P95" i="17" s="1"/>
  <c r="F98" i="17"/>
  <c r="F100" i="17"/>
  <c r="N87" i="17"/>
  <c r="N89" i="17"/>
  <c r="F85" i="17"/>
  <c r="K85" i="17"/>
  <c r="P88" i="17"/>
  <c r="E85" i="17"/>
  <c r="H85" i="17"/>
  <c r="P86" i="17"/>
  <c r="M97" i="17"/>
  <c r="N97" i="17"/>
  <c r="L97" i="17"/>
  <c r="I97" i="17"/>
  <c r="M87" i="17"/>
  <c r="I89" i="17"/>
  <c r="D89" i="17"/>
  <c r="H89" i="17"/>
  <c r="H87" i="17"/>
  <c r="K87" i="17"/>
  <c r="K89" i="17"/>
  <c r="H90" i="17"/>
  <c r="L87" i="17"/>
  <c r="L89" i="17"/>
  <c r="F87" i="17"/>
  <c r="F89" i="17"/>
  <c r="P98" i="17"/>
  <c r="P102" i="17"/>
  <c r="F105" i="17"/>
  <c r="F91" i="17"/>
  <c r="K91" i="17"/>
  <c r="L91" i="17"/>
  <c r="G105" i="17"/>
  <c r="G91" i="17"/>
  <c r="P90" i="17"/>
  <c r="M91" i="17"/>
  <c r="E18" i="17"/>
  <c r="D15" i="17"/>
  <c r="G111" i="17"/>
  <c r="G15" i="17" s="1"/>
  <c r="G18" i="17" s="1"/>
  <c r="H111" i="17"/>
  <c r="H15" i="17" s="1"/>
  <c r="H113" i="17" s="1"/>
  <c r="H18" i="17"/>
  <c r="F111" i="17"/>
  <c r="F15" i="17" s="1"/>
  <c r="F113" i="17" s="1"/>
  <c r="F114" i="17" s="1"/>
  <c r="F55" i="17" s="1"/>
  <c r="H53" i="17"/>
  <c r="E122" i="17"/>
  <c r="E118" i="17"/>
  <c r="E119" i="17"/>
  <c r="E121" i="17"/>
  <c r="E116" i="17"/>
  <c r="E117" i="17"/>
  <c r="E120" i="17"/>
  <c r="E113" i="17"/>
  <c r="I113" i="17"/>
  <c r="J111" i="17"/>
  <c r="J15" i="17"/>
  <c r="J113" i="17" s="1"/>
  <c r="J114" i="17" s="1"/>
  <c r="J55" i="17" s="1"/>
  <c r="K113" i="17"/>
  <c r="K114" i="17" s="1"/>
  <c r="K55" i="17" s="1"/>
  <c r="L113" i="17"/>
  <c r="M113" i="17"/>
  <c r="N113" i="17"/>
  <c r="O111" i="17"/>
  <c r="O15" i="17" s="1"/>
  <c r="O113" i="17"/>
  <c r="E114" i="17"/>
  <c r="E55" i="17" s="1"/>
  <c r="E50" i="17"/>
  <c r="E30" i="17"/>
  <c r="E38" i="17"/>
  <c r="E22" i="17"/>
  <c r="E34" i="17"/>
  <c r="E42" i="17"/>
  <c r="E26" i="17"/>
  <c r="E57" i="17"/>
  <c r="E46" i="17"/>
  <c r="D121" i="17"/>
  <c r="D120" i="17"/>
  <c r="D118" i="17"/>
  <c r="D119" i="17"/>
  <c r="D122" i="17"/>
  <c r="D57" i="17"/>
  <c r="D34" i="17"/>
  <c r="D42" i="17"/>
  <c r="D50" i="17"/>
  <c r="D46" i="17"/>
  <c r="D38" i="17"/>
  <c r="D22" i="17"/>
  <c r="L118" i="17"/>
  <c r="L117" i="17"/>
  <c r="L121" i="17"/>
  <c r="L120" i="17"/>
  <c r="L119" i="17"/>
  <c r="L122" i="17"/>
  <c r="L116" i="17"/>
  <c r="F119" i="17"/>
  <c r="F116" i="17"/>
  <c r="F118" i="17"/>
  <c r="F121" i="17"/>
  <c r="F117" i="17"/>
  <c r="F122" i="17"/>
  <c r="F120" i="17"/>
  <c r="O119" i="17"/>
  <c r="O121" i="17"/>
  <c r="O117" i="17"/>
  <c r="O120" i="17"/>
  <c r="O116" i="17"/>
  <c r="O122" i="17"/>
  <c r="O118" i="17"/>
  <c r="K121" i="17"/>
  <c r="K118" i="17"/>
  <c r="K122" i="17"/>
  <c r="K117" i="17"/>
  <c r="K116" i="17"/>
  <c r="K119" i="17"/>
  <c r="K120" i="17"/>
  <c r="M117" i="17"/>
  <c r="M122" i="17"/>
  <c r="M120" i="17"/>
  <c r="M121" i="17"/>
  <c r="M119" i="17"/>
  <c r="M116" i="17"/>
  <c r="M118" i="17"/>
  <c r="N117" i="17"/>
  <c r="N122" i="17"/>
  <c r="N120" i="17"/>
  <c r="N116" i="17"/>
  <c r="N118" i="17"/>
  <c r="N121" i="17"/>
  <c r="N119" i="17"/>
  <c r="H120" i="17"/>
  <c r="H121" i="17"/>
  <c r="H116" i="17"/>
  <c r="H119" i="17"/>
  <c r="H117" i="17"/>
  <c r="H118" i="17"/>
  <c r="H122" i="17"/>
  <c r="G118" i="17"/>
  <c r="G121" i="17"/>
  <c r="G117" i="17"/>
  <c r="I116" i="17"/>
  <c r="I120" i="17"/>
  <c r="I117" i="17"/>
  <c r="I119" i="17"/>
  <c r="I121" i="17"/>
  <c r="I118" i="17"/>
  <c r="I122" i="17"/>
  <c r="J116" i="17"/>
  <c r="J122" i="17"/>
  <c r="J121" i="17"/>
  <c r="J120" i="17"/>
  <c r="J119" i="17"/>
  <c r="J118" i="17"/>
  <c r="J117" i="17"/>
  <c r="I26" i="17"/>
  <c r="I46" i="17"/>
  <c r="I114" i="17"/>
  <c r="I55" i="17" s="1"/>
  <c r="I57" i="17"/>
  <c r="I38" i="17"/>
  <c r="I34" i="17"/>
  <c r="I42" i="17"/>
  <c r="I50" i="17"/>
  <c r="I22" i="17"/>
  <c r="I30" i="17"/>
  <c r="J26" i="17"/>
  <c r="J50" i="17"/>
  <c r="J38" i="17"/>
  <c r="J22" i="17"/>
  <c r="J30" i="17"/>
  <c r="J42" i="17"/>
  <c r="J57" i="17"/>
  <c r="J46" i="17"/>
  <c r="J34" i="17"/>
  <c r="H34" i="17"/>
  <c r="H42" i="17"/>
  <c r="H38" i="17"/>
  <c r="H22" i="17"/>
  <c r="H114" i="17"/>
  <c r="H55" i="17" s="1"/>
  <c r="H26" i="17"/>
  <c r="H50" i="17"/>
  <c r="H30" i="17"/>
  <c r="H57" i="17"/>
  <c r="H46" i="17"/>
  <c r="N42" i="17"/>
  <c r="N22" i="17"/>
  <c r="N114" i="17"/>
  <c r="N55" i="17"/>
  <c r="N26" i="17"/>
  <c r="N34" i="17"/>
  <c r="N57" i="17"/>
  <c r="N50" i="17"/>
  <c r="N30" i="17"/>
  <c r="N38" i="17"/>
  <c r="N46" i="17"/>
  <c r="M22" i="17"/>
  <c r="M50" i="17"/>
  <c r="M30" i="17"/>
  <c r="M34" i="17"/>
  <c r="M114" i="17"/>
  <c r="M55" i="17"/>
  <c r="M42" i="17"/>
  <c r="M38" i="17"/>
  <c r="M26" i="17"/>
  <c r="M46" i="17"/>
  <c r="M57" i="17"/>
  <c r="O22" i="17"/>
  <c r="O38" i="17"/>
  <c r="O30" i="17"/>
  <c r="O42" i="17"/>
  <c r="O26" i="17"/>
  <c r="O34" i="17"/>
  <c r="O114" i="17"/>
  <c r="O55" i="17"/>
  <c r="O50" i="17"/>
  <c r="O46" i="17"/>
  <c r="O57" i="17"/>
  <c r="G26" i="17"/>
  <c r="G38" i="17"/>
  <c r="G42" i="17"/>
  <c r="G30" i="17"/>
  <c r="G22" i="17"/>
  <c r="K50" i="17"/>
  <c r="K42" i="17"/>
  <c r="K57" i="17"/>
  <c r="K46" i="17"/>
  <c r="K26" i="17"/>
  <c r="K22" i="17"/>
  <c r="K34" i="17"/>
  <c r="K38" i="17"/>
  <c r="K30" i="17"/>
  <c r="F38" i="17"/>
  <c r="F42" i="17"/>
  <c r="F22" i="17"/>
  <c r="L22" i="17"/>
  <c r="L42" i="17"/>
  <c r="L114" i="17"/>
  <c r="L55" i="17"/>
  <c r="L57" i="17"/>
  <c r="L50" i="17"/>
  <c r="L26" i="17"/>
  <c r="L38" i="17"/>
  <c r="L34" i="17"/>
  <c r="L46" i="17"/>
  <c r="L30" i="17"/>
  <c r="R28" i="20" l="1"/>
  <c r="G28" i="20"/>
  <c r="R37" i="20"/>
  <c r="R27" i="20"/>
  <c r="G34" i="20"/>
  <c r="G42" i="20"/>
  <c r="O58" i="25"/>
  <c r="C13" i="14"/>
  <c r="N135" i="14"/>
  <c r="N132" i="20"/>
  <c r="N58" i="21"/>
  <c r="F54" i="20"/>
  <c r="Q54" i="20" s="1"/>
  <c r="N55" i="21"/>
  <c r="O55" i="21" s="1"/>
  <c r="R34" i="20"/>
  <c r="F41" i="14"/>
  <c r="Q41" i="14" s="1"/>
  <c r="A37" i="20"/>
  <c r="F34" i="14"/>
  <c r="Q34" i="14" s="1"/>
  <c r="G13" i="14"/>
  <c r="P28" i="14" s="1"/>
  <c r="Q28" i="14" s="1"/>
  <c r="E42" i="14"/>
  <c r="G42" i="14" s="1"/>
  <c r="F52" i="20"/>
  <c r="Q52" i="20" s="1"/>
  <c r="N55" i="20"/>
  <c r="G44" i="14"/>
  <c r="R44" i="14" s="1"/>
  <c r="R60" i="14" s="1"/>
  <c r="F31" i="14"/>
  <c r="Q31" i="14" s="1"/>
  <c r="F39" i="14"/>
  <c r="Q39" i="14" s="1"/>
  <c r="E25" i="14"/>
  <c r="P25" i="14" s="1"/>
  <c r="E34" i="14"/>
  <c r="P34" i="14" s="1"/>
  <c r="F42" i="14"/>
  <c r="Q42" i="14" s="1"/>
  <c r="E43" i="14"/>
  <c r="P43" i="14" s="1"/>
  <c r="E52" i="14"/>
  <c r="G52" i="14" s="1"/>
  <c r="E39" i="14"/>
  <c r="P39" i="14" s="1"/>
  <c r="H40" i="25"/>
  <c r="F47" i="14"/>
  <c r="Q47" i="14" s="1"/>
  <c r="N133" i="20"/>
  <c r="H37" i="20"/>
  <c r="C100" i="20"/>
  <c r="F50" i="14"/>
  <c r="Q50" i="14" s="1"/>
  <c r="C103" i="25"/>
  <c r="F50" i="20"/>
  <c r="Q50" i="20" s="1"/>
  <c r="F49" i="20"/>
  <c r="H37" i="25"/>
  <c r="G103" i="25"/>
  <c r="R34" i="14"/>
  <c r="C66" i="14"/>
  <c r="F52" i="14"/>
  <c r="Q52" i="14" s="1"/>
  <c r="E41" i="14"/>
  <c r="P41" i="14" s="1"/>
  <c r="F24" i="14"/>
  <c r="Q24" i="14" s="1"/>
  <c r="F25" i="14"/>
  <c r="Q25" i="14" s="1"/>
  <c r="F13" i="14"/>
  <c r="C19" i="20"/>
  <c r="E31" i="14"/>
  <c r="P31" i="14" s="1"/>
  <c r="A34" i="14"/>
  <c r="C68" i="14"/>
  <c r="R31" i="14"/>
  <c r="H31" i="14"/>
  <c r="O45" i="25"/>
  <c r="N135" i="20"/>
  <c r="H37" i="21"/>
  <c r="N42" i="20"/>
  <c r="N52" i="14"/>
  <c r="E46" i="21"/>
  <c r="P46" i="21" s="1"/>
  <c r="R46" i="21" s="1"/>
  <c r="C17" i="14"/>
  <c r="C20" i="20"/>
  <c r="E24" i="14"/>
  <c r="C69" i="20"/>
  <c r="R45" i="21"/>
  <c r="C70" i="21"/>
  <c r="A25" i="21"/>
  <c r="A24" i="21"/>
  <c r="C24" i="10"/>
  <c r="A21" i="21"/>
  <c r="R37" i="21"/>
  <c r="A22" i="21"/>
  <c r="P139" i="25"/>
  <c r="G16" i="25" s="1"/>
  <c r="G31" i="21"/>
  <c r="O138" i="14"/>
  <c r="G45" i="21"/>
  <c r="G70" i="21" s="1"/>
  <c r="G37" i="21"/>
  <c r="N139" i="21"/>
  <c r="H23" i="21"/>
  <c r="A25" i="10"/>
  <c r="B20" i="21" s="1"/>
  <c r="H25" i="21"/>
  <c r="H24" i="21"/>
  <c r="C21" i="10"/>
  <c r="U22" i="10"/>
  <c r="B25" i="10"/>
  <c r="H22" i="21"/>
  <c r="A21" i="10"/>
  <c r="R30" i="21" s="1"/>
  <c r="X25" i="10"/>
  <c r="B21" i="10"/>
  <c r="F30" i="17"/>
  <c r="F50" i="17"/>
  <c r="G113" i="17"/>
  <c r="G114" i="17" s="1"/>
  <c r="G55" i="17" s="1"/>
  <c r="D99" i="17"/>
  <c r="F99" i="17"/>
  <c r="E99" i="17"/>
  <c r="N133" i="21"/>
  <c r="F57" i="17"/>
  <c r="E87" i="17"/>
  <c r="E89" i="17"/>
  <c r="F46" i="17"/>
  <c r="F34" i="17"/>
  <c r="G57" i="17"/>
  <c r="G50" i="17"/>
  <c r="G122" i="17"/>
  <c r="G116" i="17"/>
  <c r="D18" i="17"/>
  <c r="D113" i="17"/>
  <c r="P100" i="17"/>
  <c r="D101" i="17"/>
  <c r="F26" i="17"/>
  <c r="G34" i="17"/>
  <c r="G46" i="17"/>
  <c r="G119" i="17"/>
  <c r="G120" i="17"/>
  <c r="D30" i="17"/>
  <c r="D26" i="17"/>
  <c r="F18" i="17"/>
  <c r="N99" i="17"/>
  <c r="H21" i="21"/>
  <c r="N136" i="20"/>
  <c r="E43" i="20"/>
  <c r="C16" i="14"/>
  <c r="F46" i="14"/>
  <c r="Q46" i="14" s="1"/>
  <c r="E47" i="14"/>
  <c r="E46" i="14"/>
  <c r="C16" i="20"/>
  <c r="N131" i="20"/>
  <c r="N52" i="20"/>
  <c r="C71" i="20"/>
  <c r="N137" i="14"/>
  <c r="E40" i="14"/>
  <c r="H34" i="14"/>
  <c r="G28" i="14"/>
  <c r="E97" i="17"/>
  <c r="P97" i="17" s="1"/>
  <c r="E50" i="20"/>
  <c r="N134" i="20"/>
  <c r="E21" i="17"/>
  <c r="D105" i="17"/>
  <c r="N105" i="17"/>
  <c r="N91" i="17" s="1"/>
  <c r="I105" i="17"/>
  <c r="I91" i="17" s="1"/>
  <c r="E105" i="17"/>
  <c r="E91" i="17" s="1"/>
  <c r="C64" i="14"/>
  <c r="N39" i="14"/>
  <c r="F49" i="14"/>
  <c r="C18" i="14"/>
  <c r="N52" i="21"/>
  <c r="O52" i="21" s="1"/>
  <c r="C72" i="21"/>
  <c r="Y15" i="10"/>
  <c r="H14" i="20"/>
  <c r="O137" i="20"/>
  <c r="G57" i="20" s="1"/>
  <c r="R57" i="20" s="1"/>
  <c r="A14" i="20"/>
  <c r="G93" i="14"/>
  <c r="A40" i="21"/>
  <c r="H40" i="21"/>
  <c r="N134" i="21"/>
  <c r="D117" i="17"/>
  <c r="G21" i="17" s="1"/>
  <c r="O85" i="17"/>
  <c r="P85" i="17" s="1"/>
  <c r="E107" i="17"/>
  <c r="H102" i="17"/>
  <c r="G56" i="20" l="1"/>
  <c r="R56" i="20" s="1"/>
  <c r="R63" i="20" s="1"/>
  <c r="P50" i="20"/>
  <c r="R50" i="20" s="1"/>
  <c r="G50" i="20"/>
  <c r="P43" i="20"/>
  <c r="G43" i="20"/>
  <c r="Q49" i="20"/>
  <c r="G49" i="20"/>
  <c r="R31" i="21"/>
  <c r="R40" i="21"/>
  <c r="P52" i="14"/>
  <c r="G41" i="14"/>
  <c r="G39" i="14"/>
  <c r="P42" i="14"/>
  <c r="G43" i="14"/>
  <c r="G70" i="14"/>
  <c r="G46" i="21"/>
  <c r="G25" i="14"/>
  <c r="G24" i="14"/>
  <c r="G31" i="14"/>
  <c r="G97" i="14" s="1"/>
  <c r="R28" i="14"/>
  <c r="P24" i="14"/>
  <c r="F30" i="25"/>
  <c r="R30" i="25" s="1"/>
  <c r="F46" i="25"/>
  <c r="R46" i="25" s="1"/>
  <c r="F37" i="25"/>
  <c r="R37" i="25" s="1"/>
  <c r="F40" i="25"/>
  <c r="R40" i="25" s="1"/>
  <c r="O132" i="25"/>
  <c r="O139" i="25" s="1"/>
  <c r="G15" i="25" s="1"/>
  <c r="F31" i="25"/>
  <c r="R31" i="25" s="1"/>
  <c r="F45" i="25"/>
  <c r="R45" i="25" s="1"/>
  <c r="O133" i="21"/>
  <c r="G50" i="14"/>
  <c r="E13" i="14"/>
  <c r="G51" i="14"/>
  <c r="E53" i="21"/>
  <c r="P87" i="17"/>
  <c r="P89" i="17"/>
  <c r="F55" i="21"/>
  <c r="C20" i="25"/>
  <c r="E48" i="21"/>
  <c r="C19" i="21"/>
  <c r="E45" i="20"/>
  <c r="G30" i="21"/>
  <c r="C13" i="21"/>
  <c r="E44" i="20"/>
  <c r="G27" i="20"/>
  <c r="E48" i="25"/>
  <c r="C19" i="25"/>
  <c r="F56" i="25"/>
  <c r="E46" i="20"/>
  <c r="G13" i="25"/>
  <c r="F13" i="25"/>
  <c r="O134" i="21"/>
  <c r="F52" i="25"/>
  <c r="R52" i="25" s="1"/>
  <c r="F46" i="20"/>
  <c r="Q46" i="20" s="1"/>
  <c r="C21" i="21"/>
  <c r="C23" i="25"/>
  <c r="C24" i="25"/>
  <c r="E55" i="20"/>
  <c r="E49" i="21"/>
  <c r="C22" i="25"/>
  <c r="C21" i="25"/>
  <c r="C25" i="25"/>
  <c r="C25" i="21"/>
  <c r="E47" i="25"/>
  <c r="F48" i="25"/>
  <c r="R48" i="25" s="1"/>
  <c r="F49" i="25"/>
  <c r="R49" i="25" s="1"/>
  <c r="F55" i="25"/>
  <c r="G13" i="20"/>
  <c r="F57" i="25"/>
  <c r="F47" i="25"/>
  <c r="R47" i="25" s="1"/>
  <c r="C22" i="21"/>
  <c r="F55" i="20"/>
  <c r="Q55" i="20" s="1"/>
  <c r="F49" i="21"/>
  <c r="Q49" i="21" s="1"/>
  <c r="F47" i="21"/>
  <c r="Q47" i="21" s="1"/>
  <c r="C24" i="21"/>
  <c r="G13" i="21"/>
  <c r="E58" i="21"/>
  <c r="F58" i="21"/>
  <c r="Q58" i="21" s="1"/>
  <c r="F13" i="21"/>
  <c r="F44" i="20"/>
  <c r="Q44" i="20" s="1"/>
  <c r="F57" i="21"/>
  <c r="F53" i="25"/>
  <c r="R53" i="25" s="1"/>
  <c r="F13" i="20"/>
  <c r="C13" i="20"/>
  <c r="B16" i="21"/>
  <c r="F58" i="25"/>
  <c r="R58" i="25" s="1"/>
  <c r="C13" i="25"/>
  <c r="E58" i="25"/>
  <c r="E49" i="25"/>
  <c r="F45" i="20"/>
  <c r="Q45" i="20" s="1"/>
  <c r="E47" i="21"/>
  <c r="F48" i="21"/>
  <c r="Q48" i="21" s="1"/>
  <c r="D59" i="17"/>
  <c r="C17" i="21"/>
  <c r="P99" i="17"/>
  <c r="P47" i="14"/>
  <c r="R47" i="14" s="1"/>
  <c r="G47" i="14"/>
  <c r="C18" i="21"/>
  <c r="P40" i="14"/>
  <c r="G40" i="14"/>
  <c r="P113" i="17"/>
  <c r="D114" i="17"/>
  <c r="F52" i="21"/>
  <c r="C23" i="21"/>
  <c r="N136" i="21"/>
  <c r="O106" i="17"/>
  <c r="O87" i="17"/>
  <c r="O89" i="17"/>
  <c r="G88" i="20"/>
  <c r="G52" i="20"/>
  <c r="G53" i="20"/>
  <c r="G54" i="20"/>
  <c r="G91" i="20"/>
  <c r="E13" i="20"/>
  <c r="P105" i="17"/>
  <c r="P91" i="17" s="1"/>
  <c r="D91" i="17"/>
  <c r="D21" i="17"/>
  <c r="D25" i="17"/>
  <c r="M37" i="17"/>
  <c r="J29" i="17"/>
  <c r="L33" i="17"/>
  <c r="H29" i="17"/>
  <c r="I25" i="17"/>
  <c r="D29" i="17"/>
  <c r="M45" i="17"/>
  <c r="G25" i="17"/>
  <c r="N37" i="17"/>
  <c r="O45" i="17"/>
  <c r="G33" i="17"/>
  <c r="K29" i="17"/>
  <c r="E41" i="17"/>
  <c r="F45" i="17"/>
  <c r="N49" i="17"/>
  <c r="E33" i="17"/>
  <c r="D33" i="17"/>
  <c r="N25" i="17"/>
  <c r="O25" i="17"/>
  <c r="E49" i="17"/>
  <c r="D41" i="17"/>
  <c r="F49" i="17"/>
  <c r="J49" i="17"/>
  <c r="H37" i="17"/>
  <c r="E25" i="17"/>
  <c r="I33" i="17"/>
  <c r="O49" i="17"/>
  <c r="E45" i="17"/>
  <c r="J45" i="17"/>
  <c r="F25" i="17"/>
  <c r="M41" i="17"/>
  <c r="O37" i="17"/>
  <c r="K45" i="17"/>
  <c r="D37" i="17"/>
  <c r="L41" i="17"/>
  <c r="K49" i="17"/>
  <c r="O33" i="17"/>
  <c r="M49" i="17"/>
  <c r="D49" i="17"/>
  <c r="G29" i="17"/>
  <c r="D45" i="17"/>
  <c r="L37" i="17"/>
  <c r="M25" i="17"/>
  <c r="F37" i="17"/>
  <c r="N29" i="17"/>
  <c r="G37" i="17"/>
  <c r="J41" i="17"/>
  <c r="I41" i="17"/>
  <c r="H45" i="17"/>
  <c r="F33" i="17"/>
  <c r="F29" i="17"/>
  <c r="K41" i="17"/>
  <c r="J37" i="17"/>
  <c r="K33" i="17"/>
  <c r="K25" i="17"/>
  <c r="J25" i="17"/>
  <c r="H25" i="17"/>
  <c r="G41" i="17"/>
  <c r="E29" i="17"/>
  <c r="L49" i="17"/>
  <c r="G49" i="17"/>
  <c r="G45" i="17"/>
  <c r="N45" i="17"/>
  <c r="J33" i="17"/>
  <c r="F41" i="17"/>
  <c r="O41" i="17"/>
  <c r="K37" i="17"/>
  <c r="M33" i="17"/>
  <c r="H41" i="17"/>
  <c r="H33" i="17"/>
  <c r="L29" i="17"/>
  <c r="H49" i="17"/>
  <c r="O29" i="17"/>
  <c r="E37" i="17"/>
  <c r="I45" i="17"/>
  <c r="N41" i="17"/>
  <c r="I29" i="17"/>
  <c r="I49" i="17"/>
  <c r="M29" i="17"/>
  <c r="I37" i="17"/>
  <c r="L45" i="17"/>
  <c r="L25" i="17"/>
  <c r="N33" i="17"/>
  <c r="Q49" i="14"/>
  <c r="G49" i="14"/>
  <c r="F21" i="17"/>
  <c r="G46" i="14"/>
  <c r="P46" i="14"/>
  <c r="N101" i="17"/>
  <c r="M101" i="17"/>
  <c r="E101" i="17"/>
  <c r="F101" i="17"/>
  <c r="L101" i="17"/>
  <c r="P101" i="17" s="1"/>
  <c r="F53" i="21"/>
  <c r="Q53" i="21" s="1"/>
  <c r="P31" i="20" l="1"/>
  <c r="Q31" i="20" s="1"/>
  <c r="R31" i="20" s="1"/>
  <c r="R60" i="20" s="1"/>
  <c r="F117" i="20" s="1"/>
  <c r="G117" i="20" s="1"/>
  <c r="G31" i="20"/>
  <c r="G100" i="20" s="1"/>
  <c r="G96" i="14"/>
  <c r="G99" i="14" s="1"/>
  <c r="G103" i="14" s="1"/>
  <c r="G106" i="14" s="1"/>
  <c r="G109" i="14" s="1"/>
  <c r="F118" i="14" s="1"/>
  <c r="G118" i="14" s="1"/>
  <c r="R57" i="14"/>
  <c r="F114" i="14" s="1"/>
  <c r="G114" i="14" s="1"/>
  <c r="P34" i="21"/>
  <c r="Q34" i="21" s="1"/>
  <c r="O140" i="25"/>
  <c r="L34" i="10" s="1"/>
  <c r="Q34" i="25"/>
  <c r="R34" i="25" s="1"/>
  <c r="G57" i="14"/>
  <c r="F116" i="14" s="1"/>
  <c r="G116" i="14" s="1"/>
  <c r="Q52" i="21"/>
  <c r="R52" i="21" s="1"/>
  <c r="G52" i="21"/>
  <c r="G72" i="21" s="1"/>
  <c r="P53" i="21"/>
  <c r="R53" i="21" s="1"/>
  <c r="G53" i="21"/>
  <c r="G73" i="21" s="1"/>
  <c r="I142" i="17"/>
  <c r="I144" i="17" s="1"/>
  <c r="D79" i="17"/>
  <c r="Q57" i="21"/>
  <c r="G58" i="21"/>
  <c r="P58" i="21"/>
  <c r="R57" i="25"/>
  <c r="G55" i="20"/>
  <c r="P55" i="20"/>
  <c r="G76" i="25"/>
  <c r="G48" i="25"/>
  <c r="Q48" i="25"/>
  <c r="G102" i="21"/>
  <c r="G45" i="20"/>
  <c r="P45" i="20"/>
  <c r="G73" i="20"/>
  <c r="G79" i="20" s="1"/>
  <c r="G96" i="20" s="1"/>
  <c r="Q55" i="21"/>
  <c r="P47" i="21"/>
  <c r="G47" i="21"/>
  <c r="G71" i="21" s="1"/>
  <c r="G58" i="25"/>
  <c r="Q58" i="25"/>
  <c r="G49" i="21"/>
  <c r="P49" i="21"/>
  <c r="P106" i="17"/>
  <c r="C124" i="17"/>
  <c r="P114" i="17"/>
  <c r="D55" i="17"/>
  <c r="Q47" i="25"/>
  <c r="G47" i="25"/>
  <c r="P46" i="20"/>
  <c r="G46" i="20"/>
  <c r="G99" i="20"/>
  <c r="Q49" i="25"/>
  <c r="G49" i="25"/>
  <c r="N132" i="21"/>
  <c r="O132" i="21"/>
  <c r="C16" i="21"/>
  <c r="R55" i="25"/>
  <c r="R56" i="25"/>
  <c r="P44" i="20"/>
  <c r="G44" i="20"/>
  <c r="G76" i="21"/>
  <c r="G48" i="21"/>
  <c r="P48" i="21"/>
  <c r="G60" i="20" l="1"/>
  <c r="F119" i="20" s="1"/>
  <c r="G119" i="20" s="1"/>
  <c r="G102" i="20"/>
  <c r="G106" i="20" s="1"/>
  <c r="G109" i="20" s="1"/>
  <c r="G112" i="20" s="1"/>
  <c r="F121" i="20" s="1"/>
  <c r="G56" i="25"/>
  <c r="G34" i="25"/>
  <c r="G55" i="25"/>
  <c r="G57" i="25"/>
  <c r="L37" i="10"/>
  <c r="E37" i="25" s="1"/>
  <c r="Q37" i="25" s="1"/>
  <c r="G79" i="25"/>
  <c r="G82" i="25" s="1"/>
  <c r="S34" i="25"/>
  <c r="H34" i="10"/>
  <c r="K31" i="10"/>
  <c r="H40" i="10"/>
  <c r="M34" i="10"/>
  <c r="J31" i="10"/>
  <c r="K37" i="10"/>
  <c r="E31" i="25" s="1"/>
  <c r="Q31" i="25" s="1"/>
  <c r="N37" i="10"/>
  <c r="E46" i="25" s="1"/>
  <c r="L31" i="10"/>
  <c r="I40" i="10"/>
  <c r="X37" i="10"/>
  <c r="G50" i="25" s="1"/>
  <c r="S50" i="25" s="1"/>
  <c r="S66" i="25" s="1"/>
  <c r="G94" i="25"/>
  <c r="H37" i="10"/>
  <c r="K40" i="10"/>
  <c r="G34" i="10"/>
  <c r="G40" i="10"/>
  <c r="X31" i="10"/>
  <c r="L40" i="10"/>
  <c r="N31" i="10"/>
  <c r="N40" i="10"/>
  <c r="I31" i="10"/>
  <c r="N34" i="10"/>
  <c r="G37" i="10"/>
  <c r="X34" i="10"/>
  <c r="J34" i="10"/>
  <c r="I37" i="10"/>
  <c r="E30" i="25" s="1"/>
  <c r="J40" i="10"/>
  <c r="H31" i="10"/>
  <c r="G31" i="10"/>
  <c r="I34" i="10"/>
  <c r="K34" i="10"/>
  <c r="J37" i="10"/>
  <c r="M40" i="10"/>
  <c r="M37" i="10"/>
  <c r="E45" i="25" s="1"/>
  <c r="U46" i="10"/>
  <c r="E53" i="25" s="1"/>
  <c r="M31" i="10"/>
  <c r="X40" i="10"/>
  <c r="R46" i="10"/>
  <c r="E52" i="25" s="1"/>
  <c r="O135" i="21"/>
  <c r="O142" i="21" s="1"/>
  <c r="G34" i="21" s="1"/>
  <c r="Z24" i="10"/>
  <c r="N122" i="14"/>
  <c r="N124" i="14" s="1"/>
  <c r="F130" i="14"/>
  <c r="G130" i="14" s="1"/>
  <c r="K107" i="17"/>
  <c r="N107" i="17"/>
  <c r="K108" i="17"/>
  <c r="I108" i="17"/>
  <c r="I107" i="17"/>
  <c r="M108" i="17"/>
  <c r="F108" i="17"/>
  <c r="J103" i="17"/>
  <c r="N103" i="17"/>
  <c r="G107" i="17"/>
  <c r="M103" i="17"/>
  <c r="I103" i="17"/>
  <c r="G103" i="17"/>
  <c r="M107" i="17"/>
  <c r="G108" i="17"/>
  <c r="H108" i="17"/>
  <c r="J107" i="17"/>
  <c r="K103" i="17"/>
  <c r="O103" i="17"/>
  <c r="D103" i="17"/>
  <c r="J108" i="17"/>
  <c r="L103" i="17"/>
  <c r="E103" i="17"/>
  <c r="N108" i="17"/>
  <c r="F107" i="17"/>
  <c r="F103" i="17"/>
  <c r="H107" i="17"/>
  <c r="D107" i="17"/>
  <c r="L107" i="17"/>
  <c r="L108" i="17"/>
  <c r="D108" i="17"/>
  <c r="H103" i="17"/>
  <c r="Y24" i="10"/>
  <c r="O107" i="17"/>
  <c r="F122" i="14"/>
  <c r="G122" i="14" s="1"/>
  <c r="F124" i="14"/>
  <c r="F126" i="14" s="1"/>
  <c r="O108" i="17"/>
  <c r="F128" i="14" l="1"/>
  <c r="R57" i="21"/>
  <c r="G103" i="21"/>
  <c r="R55" i="21"/>
  <c r="G99" i="25"/>
  <c r="E40" i="25"/>
  <c r="Q40" i="25" s="1"/>
  <c r="S40" i="25" s="1"/>
  <c r="S37" i="25"/>
  <c r="G37" i="25"/>
  <c r="S31" i="25"/>
  <c r="G31" i="25"/>
  <c r="G46" i="25"/>
  <c r="Q46" i="25"/>
  <c r="G53" i="25"/>
  <c r="Q53" i="25"/>
  <c r="S53" i="25" s="1"/>
  <c r="G52" i="25"/>
  <c r="Q52" i="25"/>
  <c r="Q45" i="25"/>
  <c r="G45" i="25"/>
  <c r="Q30" i="25"/>
  <c r="S30" i="25" s="1"/>
  <c r="G30" i="25"/>
  <c r="G121" i="20"/>
  <c r="N122" i="20"/>
  <c r="F133" i="20"/>
  <c r="G133" i="20" s="1"/>
  <c r="E13" i="21"/>
  <c r="AK24" i="10"/>
  <c r="F56" i="21" s="1"/>
  <c r="G94" i="21"/>
  <c r="G91" i="21"/>
  <c r="G60" i="21"/>
  <c r="R60" i="21" s="1"/>
  <c r="R34" i="21"/>
  <c r="G55" i="21"/>
  <c r="G74" i="21" s="1"/>
  <c r="G82" i="21" s="1"/>
  <c r="G57" i="21"/>
  <c r="G59" i="21"/>
  <c r="R59" i="21" s="1"/>
  <c r="P107" i="17"/>
  <c r="P103" i="17"/>
  <c r="P108" i="17"/>
  <c r="N124" i="20" l="1"/>
  <c r="F123" i="20" s="1"/>
  <c r="S63" i="25"/>
  <c r="F120" i="25" s="1"/>
  <c r="G120" i="25" s="1"/>
  <c r="G63" i="25"/>
  <c r="F122" i="25" s="1"/>
  <c r="G122" i="25" s="1"/>
  <c r="G102" i="25"/>
  <c r="G105" i="25" s="1"/>
  <c r="G109" i="25" s="1"/>
  <c r="G112" i="25" s="1"/>
  <c r="G115" i="25" s="1"/>
  <c r="F124" i="25" s="1"/>
  <c r="G124" i="25" s="1"/>
  <c r="R66" i="21"/>
  <c r="G56" i="21"/>
  <c r="G63" i="21" s="1"/>
  <c r="Q56" i="21"/>
  <c r="R56" i="21" s="1"/>
  <c r="G99" i="21"/>
  <c r="G105" i="21" s="1"/>
  <c r="F125" i="20" l="1"/>
  <c r="G125" i="20" s="1"/>
  <c r="F127" i="20"/>
  <c r="F129" i="20" s="1"/>
  <c r="F122" i="21"/>
  <c r="G122" i="21" s="1"/>
  <c r="F136" i="25"/>
  <c r="G136" i="25" s="1"/>
  <c r="O123" i="25"/>
  <c r="R63" i="21"/>
  <c r="F120" i="21" s="1"/>
  <c r="G120" i="21" s="1"/>
  <c r="G109" i="21"/>
  <c r="G112" i="21" s="1"/>
  <c r="G115" i="21" s="1"/>
  <c r="F124" i="21" s="1"/>
  <c r="G124" i="21" l="1"/>
  <c r="N123" i="21"/>
  <c r="O125" i="25"/>
  <c r="F126" i="25" s="1"/>
  <c r="F131" i="20"/>
  <c r="F136" i="21"/>
  <c r="G136" i="21" s="1"/>
  <c r="F128" i="25" l="1"/>
  <c r="G128" i="25" s="1"/>
  <c r="F130" i="25"/>
  <c r="F132" i="25" s="1"/>
  <c r="N125" i="21"/>
  <c r="F126" i="21" s="1"/>
  <c r="F128" i="21" s="1"/>
  <c r="G128" i="21" s="1"/>
  <c r="F134" i="25" l="1"/>
  <c r="F130" i="21"/>
  <c r="F132" i="21" s="1"/>
  <c r="F134" i="2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Tim Bevan</author>
    <author>Bevan</author>
  </authors>
  <commentList>
    <comment ref="A3" authorId="0" shapeId="0" xr:uid="{00000000-0006-0000-0200-000001000000}">
      <text>
        <r>
          <rPr>
            <sz val="8"/>
            <color indexed="81"/>
            <rFont val="Tahoma"/>
            <family val="2"/>
          </rPr>
          <t>Note: the occupied areas defined for the purpose of this activity database are used to determine a default occupancy for the building and identify the building users that will consume water on the premises. Therefore, not all possible occupied areas of the building need to be listed (to avoid a double counting of occupancy). For example, in an office the meeting rooms are not included because users of the meeting room will occupy the office areas, which will have already been accounted for.</t>
        </r>
      </text>
    </comment>
    <comment ref="L3" authorId="0" shapeId="0" xr:uid="{00000000-0006-0000-0200-000002000000}">
      <text>
        <r>
          <rPr>
            <sz val="8"/>
            <color indexed="81"/>
            <rFont val="Tahoma"/>
            <family val="2"/>
          </rPr>
          <t>Usage figure assumes there are also WCs present.</t>
        </r>
        <r>
          <rPr>
            <sz val="8"/>
            <color indexed="81"/>
            <rFont val="Tahoma"/>
            <family val="2"/>
          </rPr>
          <t xml:space="preserve">
</t>
        </r>
      </text>
    </comment>
    <comment ref="X3" authorId="0" shapeId="0" xr:uid="{00000000-0006-0000-0200-000003000000}">
      <text>
        <r>
          <rPr>
            <sz val="8"/>
            <color indexed="81"/>
            <rFont val="Tahoma"/>
            <family val="2"/>
          </rPr>
          <t>Assumes vessel filling for personal consumption, not other uses.</t>
        </r>
        <r>
          <rPr>
            <sz val="8"/>
            <color indexed="81"/>
            <rFont val="Tahoma"/>
            <family val="2"/>
          </rPr>
          <t xml:space="preserve">
units in litres/person/day)</t>
        </r>
      </text>
    </comment>
    <comment ref="Z3" authorId="0" shapeId="0" xr:uid="{00000000-0006-0000-0200-000004000000}">
      <text>
        <r>
          <rPr>
            <b/>
            <sz val="8"/>
            <color indexed="81"/>
            <rFont val="Tahoma"/>
            <family val="2"/>
          </rPr>
          <t>Tim Bevan:</t>
        </r>
        <r>
          <rPr>
            <sz val="8"/>
            <color indexed="81"/>
            <rFont val="Tahoma"/>
            <family val="2"/>
          </rPr>
          <t xml:space="preserve">
</t>
        </r>
      </text>
    </comment>
    <comment ref="E4" authorId="0" shapeId="0" xr:uid="{00000000-0006-0000-0200-000005000000}">
      <text>
        <r>
          <rPr>
            <sz val="8"/>
            <color indexed="81"/>
            <rFont val="Tahoma"/>
            <family val="2"/>
          </rPr>
          <t>i.e. 8.00am - 6.00pm = 10hrs. NCM database occupancy pattern.</t>
        </r>
        <r>
          <rPr>
            <sz val="8"/>
            <color indexed="81"/>
            <rFont val="Tahoma"/>
            <family val="2"/>
          </rPr>
          <t xml:space="preserve">
</t>
        </r>
      </text>
    </comment>
    <comment ref="I4" authorId="0" shapeId="0" xr:uid="{00000000-0006-0000-0200-000006000000}">
      <text>
        <r>
          <rPr>
            <b/>
            <sz val="8"/>
            <color indexed="81"/>
            <rFont val="Tahoma"/>
            <family val="2"/>
          </rPr>
          <t>Source: BNWAT22</t>
        </r>
        <r>
          <rPr>
            <sz val="8"/>
            <color indexed="81"/>
            <rFont val="Tahoma"/>
            <family val="2"/>
          </rPr>
          <t xml:space="preserve">
</t>
        </r>
      </text>
    </comment>
    <comment ref="J4" authorId="0" shapeId="0" xr:uid="{00000000-0006-0000-0200-000007000000}">
      <text>
        <r>
          <rPr>
            <b/>
            <sz val="8"/>
            <color indexed="81"/>
            <rFont val="Tahoma"/>
            <family val="2"/>
          </rPr>
          <t>Source: BNWAT22</t>
        </r>
        <r>
          <rPr>
            <sz val="8"/>
            <color indexed="81"/>
            <rFont val="Tahoma"/>
            <family val="2"/>
          </rPr>
          <t xml:space="preserve">
</t>
        </r>
      </text>
    </comment>
    <comment ref="K4" authorId="0" shapeId="0" xr:uid="{00000000-0006-0000-0200-000008000000}">
      <text>
        <r>
          <rPr>
            <b/>
            <sz val="8"/>
            <color indexed="81"/>
            <rFont val="Tahoma"/>
            <family val="2"/>
          </rPr>
          <t>Source: BNWAT22</t>
        </r>
        <r>
          <rPr>
            <sz val="8"/>
            <color indexed="81"/>
            <rFont val="Tahoma"/>
            <family val="2"/>
          </rPr>
          <t xml:space="preserve">
</t>
        </r>
      </text>
    </comment>
    <comment ref="L4" authorId="0" shapeId="0" xr:uid="{00000000-0006-0000-0200-000009000000}">
      <text>
        <r>
          <rPr>
            <b/>
            <sz val="8"/>
            <color indexed="81"/>
            <rFont val="Tahoma"/>
            <family val="2"/>
          </rPr>
          <t>Source: BNWAT22</t>
        </r>
        <r>
          <rPr>
            <sz val="8"/>
            <color indexed="81"/>
            <rFont val="Tahoma"/>
            <family val="2"/>
          </rPr>
          <t xml:space="preserve">
</t>
        </r>
      </text>
    </comment>
    <comment ref="M4" authorId="0" shapeId="0" xr:uid="{00000000-0006-0000-0200-00000A000000}">
      <text>
        <r>
          <rPr>
            <b/>
            <sz val="8"/>
            <color indexed="81"/>
            <rFont val="Tahoma"/>
            <family val="2"/>
          </rPr>
          <t>Source: BNWAT22</t>
        </r>
        <r>
          <rPr>
            <sz val="8"/>
            <color indexed="81"/>
            <rFont val="Tahoma"/>
            <family val="2"/>
          </rPr>
          <t xml:space="preserve">
</t>
        </r>
      </text>
    </comment>
    <comment ref="N4" authorId="0" shapeId="0" xr:uid="{00000000-0006-0000-0200-00000B000000}">
      <text>
        <r>
          <rPr>
            <sz val="8"/>
            <color indexed="81"/>
            <rFont val="Tahoma"/>
            <family val="2"/>
          </rPr>
          <t>BNWAT22 has no data for shower use in offices. This figure is a BRE Global (TB) assumption based on the number of people that cycle to work as a proporption of the total work force in Great Britain, the assumption being that if a development provides a shower those that cycle will use it once a day. 
In Great Britain 3% of the workforce cycle to work (source  DfT transport stats for 2009). Therefore, an assumption is made that the average employee will use a shower (where provided) 0.03 times a day (or 6.6 times a year on average). Obviously if you cycle this will be alot more and if you don't it will be zero.
Exsting 2008 Water calc assume 0.1 uses/person/day. No idea where this figure comes from.
Entec report for CLG assumes that 5% of office employees will use a shower at work. The basis for this assumption was not stated and I believe it to be too high.</t>
        </r>
      </text>
    </comment>
    <comment ref="O4" authorId="0" shapeId="0" xr:uid="{00000000-0006-0000-0200-00000C000000}">
      <text>
        <r>
          <rPr>
            <sz val="8"/>
            <color indexed="81"/>
            <rFont val="Tahoma"/>
            <family val="2"/>
          </rPr>
          <t>No bath use assumed in this building type.</t>
        </r>
      </text>
    </comment>
    <comment ref="P4" authorId="0" shapeId="0" xr:uid="{00000000-0006-0000-0200-00000D000000}">
      <text>
        <r>
          <rPr>
            <sz val="8"/>
            <color indexed="81"/>
            <rFont val="Tahoma"/>
            <family val="2"/>
          </rPr>
          <t>No bath use assumed in this building type.</t>
        </r>
      </text>
    </comment>
    <comment ref="Q4" authorId="0" shapeId="0" xr:uid="{00000000-0006-0000-0200-00000E000000}">
      <text>
        <r>
          <rPr>
            <sz val="8"/>
            <color indexed="81"/>
            <rFont val="Tahoma"/>
            <family val="2"/>
          </rPr>
          <t>No bath use assumed in this building type.</t>
        </r>
      </text>
    </comment>
    <comment ref="X4" authorId="0" shapeId="0" xr:uid="{00000000-0006-0000-0200-00000F000000}">
      <text>
        <r>
          <rPr>
            <sz val="8"/>
            <color indexed="81"/>
            <rFont val="Tahoma"/>
            <family val="2"/>
          </rPr>
          <t>BS8525 COP Greywater systems: states a typical value of 1.58 litres/person/day.</t>
        </r>
      </text>
    </comment>
    <comment ref="AC4" authorId="0" shapeId="0" xr:uid="{00000000-0006-0000-0200-000010000000}">
      <text>
        <r>
          <rPr>
            <b/>
            <sz val="8"/>
            <color indexed="81"/>
            <rFont val="Tahoma"/>
            <family val="2"/>
          </rPr>
          <t>Source:</t>
        </r>
        <r>
          <rPr>
            <sz val="8"/>
            <color indexed="81"/>
            <rFont val="Tahoma"/>
            <family val="2"/>
          </rPr>
          <t xml:space="preserve"> Communities and Local Government Research to Assess the Costs and Benefits of Improvements to the Water Efficiency of New Non-household Buildings (BD2683)
Equivalent to 15 seconds.</t>
        </r>
        <r>
          <rPr>
            <b/>
            <sz val="8"/>
            <color indexed="81"/>
            <rFont val="Tahoma"/>
            <family val="2"/>
          </rPr>
          <t xml:space="preserve">
</t>
        </r>
        <r>
          <rPr>
            <sz val="8"/>
            <color indexed="81"/>
            <rFont val="Tahoma"/>
            <family val="2"/>
          </rPr>
          <t xml:space="preserve">
</t>
        </r>
      </text>
    </comment>
    <comment ref="AD4" authorId="0" shapeId="0" xr:uid="{00000000-0006-0000-0200-000011000000}">
      <text>
        <r>
          <rPr>
            <sz val="8"/>
            <color indexed="81"/>
            <rFont val="Tahoma"/>
            <family val="2"/>
          </rPr>
          <t>Source: CLG domestic water efficiency calc, also used in BS8525 COP for greywater systems.</t>
        </r>
      </text>
    </comment>
    <comment ref="AE4" authorId="0" shapeId="0" xr:uid="{00000000-0006-0000-0200-000012000000}">
      <text>
        <r>
          <rPr>
            <sz val="8"/>
            <color indexed="81"/>
            <rFont val="Tahoma"/>
            <family val="2"/>
          </rPr>
          <t>Source: CLG domestic water efficiency calc, also used in BS8525 COP for greywater systems</t>
        </r>
      </text>
    </comment>
    <comment ref="AQ4" authorId="0" shapeId="0" xr:uid="{00000000-0006-0000-0200-000013000000}">
      <text>
        <r>
          <rPr>
            <b/>
            <sz val="8"/>
            <color indexed="81"/>
            <rFont val="Tahoma"/>
            <family val="2"/>
          </rPr>
          <t xml:space="preserve">MTP BNWat07 "Baths": </t>
        </r>
        <r>
          <rPr>
            <sz val="8"/>
            <color indexed="81"/>
            <rFont val="Tahoma"/>
            <family val="2"/>
          </rPr>
          <t>The average volume of water used per bath is approximately 40 % of the maximum volume of the bath as defined by the overflow point.
This reflects that a) people don't fill bath to the overflow and b) the Archimedes' principle of buoyancy i.e. average human will displace 70 litres of water.</t>
        </r>
        <r>
          <rPr>
            <sz val="8"/>
            <color indexed="81"/>
            <rFont val="Tahoma"/>
            <family val="2"/>
          </rPr>
          <t xml:space="preserve">
</t>
        </r>
      </text>
    </comment>
    <comment ref="AR4" authorId="0" shapeId="0" xr:uid="{00000000-0006-0000-0200-000014000000}">
      <text>
        <r>
          <rPr>
            <sz val="8"/>
            <color indexed="81"/>
            <rFont val="Tahoma"/>
            <family val="2"/>
          </rPr>
          <t>Two-thirds to account for the fact that taps will not to be run at full volume.</t>
        </r>
        <r>
          <rPr>
            <sz val="8"/>
            <color indexed="81"/>
            <rFont val="Tahoma"/>
            <family val="2"/>
          </rPr>
          <t xml:space="preserve">
</t>
        </r>
      </text>
    </comment>
    <comment ref="AU4" authorId="0" shapeId="0" xr:uid="{00000000-0006-0000-0200-000015000000}">
      <text>
        <r>
          <rPr>
            <sz val="8"/>
            <color indexed="81"/>
            <rFont val="Tahoma"/>
            <family val="2"/>
          </rPr>
          <t xml:space="preserve">6 litres in that required by Water Supply (Water Fittings) Regulations </t>
        </r>
      </text>
    </comment>
    <comment ref="AW4" authorId="1" shapeId="0" xr:uid="{00000000-0006-0000-0200-000016000000}">
      <text>
        <r>
          <rPr>
            <sz val="8"/>
            <color indexed="81"/>
            <rFont val="Tahoma"/>
            <family val="2"/>
          </rPr>
          <t>BREEAM 2008 one credit level
Equivalent to a 6/4 dual flush</t>
        </r>
      </text>
    </comment>
    <comment ref="AX4" authorId="0" shapeId="0" xr:uid="{00000000-0006-0000-0200-000017000000}">
      <text>
        <r>
          <rPr>
            <sz val="8"/>
            <color indexed="81"/>
            <rFont val="Tahoma"/>
            <family val="2"/>
          </rPr>
          <t>AECB water standards publication (Jan 2009) states f</t>
        </r>
        <r>
          <rPr>
            <u/>
            <sz val="8"/>
            <color indexed="81"/>
            <rFont val="Tahoma"/>
            <family val="2"/>
          </rPr>
          <t>ull flush</t>
        </r>
        <r>
          <rPr>
            <sz val="8"/>
            <color indexed="81"/>
            <rFont val="Tahoma"/>
            <family val="2"/>
          </rPr>
          <t xml:space="preserve"> of less than 4 litres is experimental.
</t>
        </r>
      </text>
    </comment>
    <comment ref="AY4" authorId="0" shapeId="0" xr:uid="{00000000-0006-0000-0200-000018000000}">
      <text>
        <r>
          <rPr>
            <sz val="8"/>
            <color indexed="81"/>
            <rFont val="Tahoma"/>
            <family val="2"/>
          </rPr>
          <t>6/3 dual flush WC = 3.75 and a 4.5/3 dual flush = 3.8 effective flush volume.</t>
        </r>
      </text>
    </comment>
    <comment ref="AZ4" authorId="1" shapeId="0" xr:uid="{00000000-0006-0000-0200-000019000000}">
      <text>
        <r>
          <rPr>
            <sz val="8"/>
            <color indexed="81"/>
            <rFont val="Tahoma"/>
            <family val="2"/>
          </rPr>
          <t xml:space="preserve">An effective flush volume of 3.0 is the level required for BREEAM 2008 2 credits  (for non water calc method building types).
A dual flush WC of 4/2.6 represents current exemplary practice in the UK (not including composting toilets, not considered viable option for non domestic building). This type of dual flush WC has an effective flushing volume of 2.95 litres.
</t>
        </r>
      </text>
    </comment>
    <comment ref="R5" authorId="0" shapeId="0" xr:uid="{00000000-0006-0000-0200-00001A000000}">
      <text>
        <r>
          <rPr>
            <sz val="8"/>
            <color indexed="81"/>
            <rFont val="Tahoma"/>
            <family val="2"/>
          </rPr>
          <t>Source: Communities and Local Government Research to Assess the Costs and Benefits of Improvements to the Water Efficiency of New Non-household Buildings (Entec Oct 2009)</t>
        </r>
        <r>
          <rPr>
            <sz val="8"/>
            <color indexed="81"/>
            <rFont val="Tahoma"/>
            <family val="2"/>
          </rPr>
          <t xml:space="preserve">
</t>
        </r>
      </text>
    </comment>
    <comment ref="U5" authorId="0" shapeId="0" xr:uid="{00000000-0006-0000-0200-00001B000000}">
      <text>
        <r>
          <rPr>
            <sz val="8"/>
            <color indexed="81"/>
            <rFont val="Tahoma"/>
            <family val="2"/>
          </rPr>
          <t>One cycle accommodates 25 people i.e. 1/25=0.04 uses/person/day. 
Source: Communities and Local Government Research to Assess the Costs and Benefits of Improvements to the Water Efficiency of New Non-household Buildings (Entec Oct 2009).</t>
        </r>
      </text>
    </comment>
    <comment ref="AH5" authorId="0" shapeId="0" xr:uid="{00000000-0006-0000-0200-00001C000000}">
      <text>
        <r>
          <rPr>
            <sz val="8"/>
            <color indexed="81"/>
            <rFont val="Tahoma"/>
            <family val="2"/>
          </rPr>
          <t>Communities and Local Government Research to Assess the Costs and Benefits of Improvements to the Water Efficiency of New Non-household Buildings (BD2683) states a factor of 0.67 for offices in its example calculation.</t>
        </r>
      </text>
    </comment>
    <comment ref="AZ5" authorId="0" shapeId="0" xr:uid="{00000000-0006-0000-0200-00001D000000}">
      <text>
        <r>
          <rPr>
            <sz val="8"/>
            <color indexed="81"/>
            <rFont val="Tahoma"/>
            <family val="2"/>
          </rPr>
          <t>This is equivalent to a dual flush WC of 4/2.6. Which has an effective flushing volume of 2.875 litres. This represents current exemplary practice in the UK.</t>
        </r>
        <r>
          <rPr>
            <sz val="8"/>
            <color indexed="81"/>
            <rFont val="Tahoma"/>
            <family val="2"/>
          </rPr>
          <t xml:space="preserve">
</t>
        </r>
      </text>
    </comment>
    <comment ref="C6" authorId="0" shapeId="0" xr:uid="{00000000-0006-0000-0200-00001E000000}">
      <text>
        <r>
          <rPr>
            <sz val="8"/>
            <color indexed="81"/>
            <rFont val="Tahoma"/>
            <family val="2"/>
          </rPr>
          <t>Note: this figure is use to calculated a default number of kitchen staff only.
An average restaurant has been modelled as having 25 employees serving 250 covers per day (Pacific Institute, 2003). For an office canteen/restaurant this figure is halved to 12.5 employees per 250 covers as it is assumed that office canteen/restaurants will not rely on a table service (as in a restaurant) and therefore will have less staff per cover as a result. Therefore, where there is a staff canteen/restaurant, the number of staff in that activity area is determined as follows:
An overall occupant density for seated dining areas of 0.2888 persons/m2 is used (source: National Energy Calculation Methodology activity database) to determine the number of people seated in the restaurant. A period of 11am-3pm is used as a default hours of use by the building's staff, whereby occupant density fluctuates respectively during those hours as follows: 0.25, 1.0, 1.0, 0.75 (source NCM activity database); resulting in an average occupant density of  0.217 covers/hr/m2.
This average multiplied by the 4 hour period gives a figure of 0.868 covers/m2. If there are 12.5 kitchen employees per 250 covers, then there are 0.05 employees/cover; therefore there are 0.0434 kitchen employees/m2 of seated dining area.</t>
        </r>
      </text>
    </comment>
    <comment ref="V6" authorId="0" shapeId="0" xr:uid="{00000000-0006-0000-0200-00001F000000}">
      <text>
        <r>
          <rPr>
            <sz val="8"/>
            <color indexed="81"/>
            <rFont val="Tahoma"/>
            <family val="2"/>
          </rPr>
          <t>It could be argued that there is likley to be a washing machine where there is a food preparation area, however, no data available for this component in this activity area. It is possible that it could be accounted for under the miscellaneous under food preparation (which is a fixed use).</t>
        </r>
      </text>
    </comment>
    <comment ref="Y6" authorId="0" shapeId="0" xr:uid="{00000000-0006-0000-0200-000020000000}">
      <text>
        <r>
          <rPr>
            <sz val="8"/>
            <color indexed="81"/>
            <rFont val="Tahoma"/>
            <family val="2"/>
          </rPr>
          <t>Units: litres/day
Fixed use for food preparation is based on a ‘standard’ restaurant. This ‘standard’ model gives details relating to a hotel with 25 staff serving 250 covers or meals per day, (source: BD2683 and sources contained therein), as follows:
0.33 kg of ice per meal
Food preparation sink: 113.4 litres (per day) / 250 covers = 0.4536 litres/cover
Food: 1.89 litres/cover
Total: 2.674 litres/cover
This figure is multiplied by 0.868 covers/m2 (see comment against occupant density for this building area for source of number) and the total area (m2) of the dining area to give the fixed use total here.
If there is no dining area, no figure is calculated.</t>
        </r>
      </text>
    </comment>
    <comment ref="Z6" authorId="0" shapeId="0" xr:uid="{00000000-0006-0000-0200-000021000000}">
      <text>
        <r>
          <rPr>
            <sz val="8"/>
            <color indexed="81"/>
            <rFont val="Arial"/>
            <family val="2"/>
          </rPr>
          <t>Units: litres/day
Fixed use for cleaning in a food preparation area is based on a ‘standard’ restaurant. This ‘standard’ model gives details relating to a hotel with 25 staff serving 250 covers or meals per day (Source: BD2683), as follows:
Pot and pan sink: 900 litres (3 x sinks filled with 150 litre capacity filled twice a day) / 250 covers = 3.6 litres/cover
Cleaning: 298.4 / 250 covers = 1.1936 litres/cover
Miscellaneous use: 378/250 = 1.52 litres/cover
Total: 6.314 litres/cover
This figure is multiplied by 0.868 covers/m2 (see comment against occupant density for this building area for source of number) and the total area (m2) of the dining area to give the fixed use total here.
If there is no dining area, no figure is calculated.</t>
        </r>
      </text>
    </comment>
    <comment ref="AI6" authorId="0" shapeId="0" xr:uid="{00000000-0006-0000-0200-000022000000}">
      <text>
        <r>
          <rPr>
            <b/>
            <sz val="8"/>
            <color indexed="81"/>
            <rFont val="Tahoma"/>
            <family val="2"/>
          </rPr>
          <t xml:space="preserve">Source: </t>
        </r>
        <r>
          <rPr>
            <sz val="8"/>
            <color indexed="81"/>
            <rFont val="Tahoma"/>
            <family val="2"/>
          </rPr>
          <t>washing up pre-rinse nozzles are used for 60 min per day (Pacific Institute, 2003; MWRA,1990)</t>
        </r>
        <r>
          <rPr>
            <sz val="8"/>
            <color indexed="81"/>
            <rFont val="Tahoma"/>
            <family val="2"/>
          </rPr>
          <t xml:space="preserve">
</t>
        </r>
      </text>
    </comment>
    <comment ref="AK6" authorId="0" shapeId="0" xr:uid="{00000000-0006-0000-0200-000023000000}">
      <text>
        <r>
          <rPr>
            <sz val="8"/>
            <color indexed="81"/>
            <rFont val="Tahoma"/>
            <family val="2"/>
          </rPr>
          <t>units: dishwasher cycle/m2
Communities and Local Government Research to Assess the Costs and Benefits of Improvements to the Water Efficiency of New Non-household Buildings (BD2683) states each customer produces half a dishwasher rack of washing up per visit. This is for standard restaurant use. For an office canteen, this has been halved again to one quarter rack per cover on the basis that only one course is served at lunchtime, so less crockery than for standard restaurant (where two or three courses are to be assumed).
An overall occupant density for seated dining areas of 0.289 persons/m2 is used (source: National Energy Calculation Methodology activity database) to determine the number of people seated in the restaurant. A period of 11am-3pm is used as a default hours of use of the dining area by the building's staff, whereby occupant density fluctuates respectively during those hours as follows: 0.25, 1.0, 1.0, 0.75 (source NCM activity database); resulting in an average occupant density of  0.217 covers/hr/m2. This average multiplied by the 4 hour period gives a figure of 0.868 covers/m2/day.
Therefore: 0.868 covers/m2/day * 0.25 racks/cover = 0.217 cycles/m2 dining area/day.</t>
        </r>
      </text>
    </comment>
    <comment ref="AM6" authorId="0" shapeId="0" xr:uid="{00000000-0006-0000-0200-000024000000}">
      <text>
        <r>
          <rPr>
            <b/>
            <sz val="8"/>
            <color indexed="81"/>
            <rFont val="Tahoma"/>
            <family val="2"/>
          </rPr>
          <t>Source:</t>
        </r>
        <r>
          <rPr>
            <sz val="8"/>
            <color indexed="81"/>
            <rFont val="Tahoma"/>
            <family val="2"/>
          </rPr>
          <t xml:space="preserve"> waste disposal devices run for 30 min per day (Pacific Institute, 2003; MWRA,1990)</t>
        </r>
        <r>
          <rPr>
            <sz val="8"/>
            <color indexed="81"/>
            <rFont val="Tahoma"/>
            <family val="2"/>
          </rPr>
          <t xml:space="preserve">
</t>
        </r>
      </text>
    </comment>
    <comment ref="AZ6" authorId="0" shapeId="0" xr:uid="{00000000-0006-0000-0200-000025000000}">
      <text>
        <r>
          <rPr>
            <sz val="8"/>
            <color indexed="81"/>
            <rFont val="Tahoma"/>
            <family val="2"/>
          </rPr>
          <t>This is equivalent to a dual flush WC of 4/2.6. Which has an effective flushing volume of 2.875 litres. This represents current exemplary practice in the UK.</t>
        </r>
        <r>
          <rPr>
            <sz val="8"/>
            <color indexed="81"/>
            <rFont val="Tahoma"/>
            <family val="2"/>
          </rPr>
          <t xml:space="preserve">
</t>
        </r>
      </text>
    </comment>
    <comment ref="AT7" authorId="0" shapeId="0" xr:uid="{00000000-0006-0000-0200-000026000000}">
      <text>
        <r>
          <rPr>
            <sz val="8"/>
            <color indexed="81"/>
            <rFont val="Tahoma"/>
            <family val="2"/>
          </rPr>
          <t>These figures will be adjusted by a factor of two-thirds in the calculation to account for the fact that taps tend not to be run at full volume.</t>
        </r>
        <r>
          <rPr>
            <sz val="8"/>
            <color indexed="81"/>
            <rFont val="Tahoma"/>
            <family val="2"/>
          </rPr>
          <t xml:space="preserve">
</t>
        </r>
      </text>
    </comment>
    <comment ref="AV7" authorId="1" shapeId="0" xr:uid="{00000000-0006-0000-0200-000027000000}">
      <text>
        <r>
          <rPr>
            <sz val="8"/>
            <color indexed="81"/>
            <rFont val="Tahoma"/>
            <family val="2"/>
          </rPr>
          <t>BREEAM 2008 requirement for taps = 6 l/min. Accounting for two thirds this would be approx 9 l/min</t>
        </r>
        <r>
          <rPr>
            <sz val="8"/>
            <color indexed="81"/>
            <rFont val="Tahoma"/>
            <family val="2"/>
          </rPr>
          <t xml:space="preserve">
</t>
        </r>
      </text>
    </comment>
    <comment ref="C8" authorId="0" shapeId="0" xr:uid="{00000000-0006-0000-0200-000028000000}">
      <text>
        <r>
          <rPr>
            <sz val="8"/>
            <color indexed="81"/>
            <rFont val="Tahoma"/>
            <family val="2"/>
          </rPr>
          <t>For the purpose of this methodology zero has been used as the users of this facility will be the staff, whose number is determined based on the density of other activity areas , so to acount for occupancy against this activity area would double count the number of building users.</t>
        </r>
      </text>
    </comment>
    <comment ref="N8" authorId="0" shapeId="0" xr:uid="{00000000-0006-0000-0200-000029000000}">
      <text>
        <r>
          <rPr>
            <sz val="8"/>
            <color indexed="81"/>
            <rFont val="Tahoma"/>
            <family val="2"/>
          </rPr>
          <t>For the purpose of shower use in this building type for a fitness suites/gym, it has been assumed that 80% of users of this facility will take a shower after use (this is a BRE assumption on the basis that most users will shower, though unlikely to be all, so a significant majority has been used).
The number of users for this facility has been determined as follows:
The percentage of all adults that undertake "30 minutes or more of moderate or vigorous activity on at least five days per week" is, according to the NHS Health Survey for England 2008 (Table 14 Trends table) 34%. The assumption has therefore been made that if a fitness suite is provided, then 50% of the staff who exercise for 30mins or more five times a week will take advantage of the fitness suite (or if not the suite, the changing/shower facilities becuase they jog or play other sports at work). Only half is used as it is assumed that at an equal number of the 34% will get their 30mins a day via attendance at sporting clubs outside of work.
The 3% of people that cycle to work in the UK (therefore fulfilling the recommended 30min requirement) has first been subtracted from 34% figure, prior to adjustments made above, and then added back on to the adjusted figure. This is because it has been assumed that all those who cycle will shower, therefore they should not be subject to the 80% and 50% adjustments.
Therefore, this usage ratio represents all shower use by staff in the building when a fitness suite/gym with a changing facilities is included (where it isn't the above usage ratio of 0.03 is used, which based on those who cycle).
No. of showers per person per day = ((34% - 3%) * 50% * 80%)) + 3% = 0.154 (15.4% of staff).</t>
        </r>
      </text>
    </comment>
    <comment ref="X8" authorId="0" shapeId="0" xr:uid="{00000000-0006-0000-0200-00002A000000}">
      <text>
        <r>
          <rPr>
            <sz val="8"/>
            <color indexed="81"/>
            <rFont val="Tahoma"/>
            <family val="2"/>
          </rPr>
          <t>CLG Research to Assess the Costs and Benefits of Improvements to the Water Efficiency of New Non-household Buildings states in its approach to drafting standard for leisure centres that each visitor uses 0.3 litre of water from a fountain or tap, for drinking (based on an average 1 hour visit). This figure has been used and adjusted to account for the 15.4% of staff that will use this facility (see note under shower use for how this figure was determined).
Fixed use vessel filling for the building (per/person) resulting from having a fitness suite is therefore: 0.3 * 0.154 = 0.05 litres.</t>
        </r>
      </text>
    </comment>
    <comment ref="AU8" authorId="1" shapeId="0" xr:uid="{00000000-0006-0000-0200-00002B000000}">
      <text>
        <r>
          <rPr>
            <b/>
            <sz val="8"/>
            <color indexed="81"/>
            <rFont val="Tahoma"/>
            <family val="2"/>
          </rPr>
          <t>Data from Market Transformation Programme BNWAT07 "Baths -Water Efficeincy Test performance tests"
Standard usage, based on data collected by water companies, is 40% of the capcity to overflow.
Env Agency: 12+ l/min = typical</t>
        </r>
      </text>
    </comment>
    <comment ref="AV8" authorId="1" shapeId="0" xr:uid="{00000000-0006-0000-0200-00002C000000}">
      <text>
        <r>
          <rPr>
            <b/>
            <sz val="8"/>
            <color indexed="81"/>
            <rFont val="Tahoma"/>
            <family val="2"/>
          </rPr>
          <t>SD174 Table 2 upper level</t>
        </r>
        <r>
          <rPr>
            <sz val="8"/>
            <color indexed="81"/>
            <rFont val="Tahoma"/>
            <family val="2"/>
          </rPr>
          <t xml:space="preserve">
</t>
        </r>
        <r>
          <rPr>
            <b/>
            <sz val="8"/>
            <color indexed="81"/>
            <rFont val="Tahoma"/>
            <family val="2"/>
          </rPr>
          <t>9.5 l/min maximum flow rate permitted in USA</t>
        </r>
      </text>
    </comment>
    <comment ref="AW8" authorId="1" shapeId="0" xr:uid="{00000000-0006-0000-0200-00002D000000}">
      <text>
        <r>
          <rPr>
            <b/>
            <sz val="8"/>
            <color indexed="81"/>
            <rFont val="Tahoma"/>
            <family val="2"/>
          </rPr>
          <t xml:space="preserve">9 l/min current BREEAM 2008 requirement level
</t>
        </r>
        <r>
          <rPr>
            <sz val="8"/>
            <color indexed="81"/>
            <rFont val="Tahoma"/>
            <family val="2"/>
          </rPr>
          <t xml:space="preserve">
darft BS8542 = 8 L/min for good</t>
        </r>
      </text>
    </comment>
    <comment ref="E9" authorId="0" shapeId="0" xr:uid="{00000000-0006-0000-0200-00002E000000}">
      <text>
        <r>
          <rPr>
            <sz val="8"/>
            <color indexed="81"/>
            <rFont val="Tahoma"/>
            <family val="2"/>
          </rPr>
          <t xml:space="preserve">Method assumes full occupancy between 08.00-17.59hrs and 50% between 18.00 - 07.59 hrs.
</t>
        </r>
      </text>
    </comment>
    <comment ref="N9" authorId="0" shapeId="0" xr:uid="{00000000-0006-0000-0200-00002F000000}">
      <text>
        <r>
          <rPr>
            <sz val="8"/>
            <color indexed="81"/>
            <rFont val="Tahoma"/>
            <family val="2"/>
          </rPr>
          <t>BNWAT22 has no data for shower use in industrial buildings. This figure is a BRE Global (TB) assumption based on the number of people that cycle to work as a proporption of the total work force in Great Britain, the assumption being that if a development provides a shower those that cycle will use it once a day. 
In Great Britain 3% of the workforce cycle to work (source  DfT transport stats for 2009). Therefore, an assumption is made that the average employee will use a shower (where provided) 0.03 times a day (or 6.6 times a year on average). Obviously if you cycle this will be alot more and if you don't it will be zero.
Exsting 2008 Water calc assume 0.1 uses/person/day. No idea where this figure comes from.
Entec report for CLG assumes that 5% of office employees will use a shower at work. The basis for this assumption was not stated and I believe it to be too high.</t>
        </r>
      </text>
    </comment>
    <comment ref="O9" authorId="0" shapeId="0" xr:uid="{00000000-0006-0000-0200-000030000000}">
      <text>
        <r>
          <rPr>
            <sz val="8"/>
            <color indexed="81"/>
            <rFont val="Tahoma"/>
            <family val="2"/>
          </rPr>
          <t>No bath use assumed in this building type.</t>
        </r>
      </text>
    </comment>
    <comment ref="P9" authorId="0" shapeId="0" xr:uid="{00000000-0006-0000-0200-000031000000}">
      <text>
        <r>
          <rPr>
            <sz val="8"/>
            <color indexed="81"/>
            <rFont val="Tahoma"/>
            <family val="2"/>
          </rPr>
          <t>No bath use assumed in this building type.</t>
        </r>
      </text>
    </comment>
    <comment ref="Q9" authorId="0" shapeId="0" xr:uid="{00000000-0006-0000-0200-000032000000}">
      <text>
        <r>
          <rPr>
            <sz val="8"/>
            <color indexed="81"/>
            <rFont val="Tahoma"/>
            <family val="2"/>
          </rPr>
          <t>No bath use assumed in this building type.</t>
        </r>
      </text>
    </comment>
    <comment ref="X9" authorId="0" shapeId="0" xr:uid="{00000000-0006-0000-0200-000033000000}">
      <text>
        <r>
          <rPr>
            <sz val="8"/>
            <color indexed="81"/>
            <rFont val="Tahoma"/>
            <family val="2"/>
          </rPr>
          <t>BS8525 COP Greywater systems: states a typical value of 1.58 litres/person/day.</t>
        </r>
      </text>
    </comment>
    <comment ref="AC9" authorId="0" shapeId="0" xr:uid="{00000000-0006-0000-0200-000034000000}">
      <text>
        <r>
          <rPr>
            <b/>
            <sz val="8"/>
            <color indexed="81"/>
            <rFont val="Tahoma"/>
            <family val="2"/>
          </rPr>
          <t>Source:</t>
        </r>
        <r>
          <rPr>
            <sz val="8"/>
            <color indexed="81"/>
            <rFont val="Tahoma"/>
            <family val="2"/>
          </rPr>
          <t xml:space="preserve"> Communities and Local Government Research to Assess the Costs and Benefits of Improvements to the Water Efficiency of New Non-household Buildings (BD2683)
Equivalent to 15 seconds.</t>
        </r>
        <r>
          <rPr>
            <b/>
            <sz val="8"/>
            <color indexed="81"/>
            <rFont val="Tahoma"/>
            <family val="2"/>
          </rPr>
          <t xml:space="preserve">
</t>
        </r>
        <r>
          <rPr>
            <sz val="8"/>
            <color indexed="81"/>
            <rFont val="Tahoma"/>
            <family val="2"/>
          </rPr>
          <t xml:space="preserve">
</t>
        </r>
      </text>
    </comment>
    <comment ref="AD9" authorId="0" shapeId="0" xr:uid="{00000000-0006-0000-0200-000035000000}">
      <text>
        <r>
          <rPr>
            <sz val="8"/>
            <color indexed="81"/>
            <rFont val="Tahoma"/>
            <family val="2"/>
          </rPr>
          <t>Source: CLG domestic water efficiency calc, also used in BS8525 COP for greywater systems.</t>
        </r>
      </text>
    </comment>
    <comment ref="AE9" authorId="0" shapeId="0" xr:uid="{00000000-0006-0000-0200-000036000000}">
      <text>
        <r>
          <rPr>
            <sz val="8"/>
            <color indexed="81"/>
            <rFont val="Tahoma"/>
            <family val="2"/>
          </rPr>
          <t>Source: CLG domestic water efficiency calc, also used in BS8525 COP for greywater systems</t>
        </r>
      </text>
    </comment>
    <comment ref="AQ9" authorId="0" shapeId="0" xr:uid="{00000000-0006-0000-0200-000037000000}">
      <text>
        <r>
          <rPr>
            <b/>
            <sz val="8"/>
            <color indexed="81"/>
            <rFont val="Tahoma"/>
            <family val="2"/>
          </rPr>
          <t xml:space="preserve">MTP BNWat07 "Baths": </t>
        </r>
        <r>
          <rPr>
            <sz val="8"/>
            <color indexed="81"/>
            <rFont val="Tahoma"/>
            <family val="2"/>
          </rPr>
          <t>The average volume of water used per bath is approximately 40 % of the maximum volume of the bath as defined by the overflow point.
This reflects that a) people don't fill bath to the overflow and b) the Archimedes' principle of buoyancy i.e. average human will displace 70 litres of water.</t>
        </r>
        <r>
          <rPr>
            <sz val="8"/>
            <color indexed="81"/>
            <rFont val="Tahoma"/>
            <family val="2"/>
          </rPr>
          <t xml:space="preserve">
</t>
        </r>
      </text>
    </comment>
    <comment ref="AR9" authorId="0" shapeId="0" xr:uid="{00000000-0006-0000-0200-000038000000}">
      <text>
        <r>
          <rPr>
            <sz val="8"/>
            <color indexed="81"/>
            <rFont val="Tahoma"/>
            <family val="2"/>
          </rPr>
          <t>Two-thirds to account for the fact that taps will not to be run at full volume.</t>
        </r>
        <r>
          <rPr>
            <sz val="8"/>
            <color indexed="81"/>
            <rFont val="Tahoma"/>
            <family val="2"/>
          </rPr>
          <t xml:space="preserve">
</t>
        </r>
      </text>
    </comment>
    <comment ref="AU9" authorId="1" shapeId="0" xr:uid="{00000000-0006-0000-0200-000039000000}">
      <text>
        <r>
          <rPr>
            <sz val="8"/>
            <color indexed="81"/>
            <rFont val="Tahoma"/>
            <family val="2"/>
          </rPr>
          <t xml:space="preserve">The Water Supply Regulations 1999 imposes a legal requirement to notify the local water supplier of the proposed installation of a bath with a capacity in excess of 230 litres
SD175 table 2 volume  calculator for CSH starts at 130.
BNWAT07 states standard bath is 220 litres to overflow. Standard taken to mean standard within existing households. This reference states that 165 litre bath is an "undersized bath". BNWAT07 uses research undertaken by water utilities in the UK.
Communities and Local Government Research states 225 litres is the baseline.
Water efficiency label states that an average bath is 1700mm x 700mm and will hold 200 litres of water.200 litres is also the highest volume bath on water efficient product labelling scheme.
Based on various sources of data, decided to go with 200 litres as a baseline for new buildings in this methodology.
</t>
        </r>
      </text>
    </comment>
    <comment ref="AV9" authorId="0" shapeId="0" xr:uid="{00000000-0006-0000-0200-00003A000000}">
      <text>
        <r>
          <rPr>
            <sz val="8"/>
            <color indexed="81"/>
            <rFont val="Tahoma"/>
            <family val="2"/>
          </rPr>
          <t xml:space="preserve">AECB Water Standards good practice level
</t>
        </r>
      </text>
    </comment>
    <comment ref="AW9" authorId="0" shapeId="0" xr:uid="{00000000-0006-0000-0200-00003B000000}">
      <text>
        <r>
          <rPr>
            <b/>
            <sz val="8"/>
            <color indexed="81"/>
            <rFont val="Tahoma"/>
            <family val="2"/>
          </rPr>
          <t>Anything under 165 litres termed an "undersized bath" BNWat07</t>
        </r>
      </text>
    </comment>
    <comment ref="AX9" authorId="0" shapeId="0" xr:uid="{00000000-0006-0000-0200-00003C000000}">
      <text>
        <r>
          <rPr>
            <b/>
            <sz val="8"/>
            <color indexed="81"/>
            <rFont val="Tahoma"/>
            <family val="2"/>
          </rPr>
          <t>Corner bath size = 140 litres</t>
        </r>
      </text>
    </comment>
    <comment ref="AY9" authorId="0" shapeId="0" xr:uid="{00000000-0006-0000-0200-00003D000000}">
      <text>
        <r>
          <rPr>
            <b/>
            <sz val="8"/>
            <color indexed="81"/>
            <rFont val="Tahoma"/>
            <family val="2"/>
          </rPr>
          <t>SD175 table 2 volume  calculator for CSH starts at 130.</t>
        </r>
        <r>
          <rPr>
            <sz val="8"/>
            <color indexed="81"/>
            <rFont val="Tahoma"/>
            <family val="2"/>
          </rPr>
          <t xml:space="preserve">
</t>
        </r>
      </text>
    </comment>
    <comment ref="AZ9" authorId="1" shapeId="0" xr:uid="{00000000-0006-0000-0200-00003E000000}">
      <text>
        <r>
          <rPr>
            <b/>
            <sz val="8"/>
            <color indexed="81"/>
            <rFont val="Tahoma"/>
            <family val="2"/>
          </rPr>
          <t>BREEAM 2008 multi-res requirement</t>
        </r>
      </text>
    </comment>
    <comment ref="E10" authorId="0" shapeId="0" xr:uid="{00000000-0006-0000-0200-00003F000000}">
      <text>
        <r>
          <rPr>
            <sz val="8"/>
            <color indexed="81"/>
            <rFont val="Tahoma"/>
            <family val="2"/>
          </rPr>
          <t xml:space="preserve">i.e. 8.00am - 6.00pm = 10hrs. NCM database occupancy pattern.
</t>
        </r>
      </text>
    </comment>
    <comment ref="N10" authorId="0" shapeId="0" xr:uid="{00000000-0006-0000-0200-000040000000}">
      <text>
        <r>
          <rPr>
            <sz val="8"/>
            <color indexed="81"/>
            <rFont val="Tahoma"/>
            <family val="2"/>
          </rPr>
          <t>BNWAT22 has no data for shower use in industrial buildings. This figure is a BRE Global (TB) assumption based on the number of people that cycle to work as a proporption of the total work force in Great Britain, the assumption being that if a development provides a shower those that cycle will use it once a day. 
In Great Britain 3% of the workforce cycle to work (source  DfT transport stats for 2009). Therefore, an assumption is made that the average employee will use a shower (where provided) 0.03 times a day (or 6.6 times a year on average). Obviously if you cycle this will be alot more and if you don't it will be zero.
Exsting 2008 Water calc assume 0.1 uses/person/day. No idea where this figure comes from.
Entec report for CLG assumes that 5% of office employees will use a shower at work. The basis for this assumption was not stated and I believe it to be too high.</t>
        </r>
      </text>
    </comment>
    <comment ref="O10" authorId="0" shapeId="0" xr:uid="{00000000-0006-0000-0200-000041000000}">
      <text>
        <r>
          <rPr>
            <sz val="8"/>
            <color indexed="81"/>
            <rFont val="Tahoma"/>
            <family val="2"/>
          </rPr>
          <t>No bath use assumed in this building type.</t>
        </r>
      </text>
    </comment>
    <comment ref="P10" authorId="0" shapeId="0" xr:uid="{00000000-0006-0000-0200-000042000000}">
      <text>
        <r>
          <rPr>
            <sz val="8"/>
            <color indexed="81"/>
            <rFont val="Tahoma"/>
            <family val="2"/>
          </rPr>
          <t>No bath use assumed in this building type.</t>
        </r>
      </text>
    </comment>
    <comment ref="Q10" authorId="0" shapeId="0" xr:uid="{00000000-0006-0000-0200-000043000000}">
      <text>
        <r>
          <rPr>
            <sz val="8"/>
            <color indexed="81"/>
            <rFont val="Tahoma"/>
            <family val="2"/>
          </rPr>
          <t>No bath use assumed in this building type.</t>
        </r>
      </text>
    </comment>
    <comment ref="X10" authorId="0" shapeId="0" xr:uid="{00000000-0006-0000-0200-000044000000}">
      <text>
        <r>
          <rPr>
            <sz val="8"/>
            <color indexed="81"/>
            <rFont val="Tahoma"/>
            <family val="2"/>
          </rPr>
          <t>BS8525 COP Greywater systems: states a typical value of 1.58 litres/person/day.</t>
        </r>
      </text>
    </comment>
    <comment ref="AC10" authorId="0" shapeId="0" xr:uid="{00000000-0006-0000-0200-000045000000}">
      <text>
        <r>
          <rPr>
            <b/>
            <sz val="8"/>
            <color indexed="81"/>
            <rFont val="Tahoma"/>
            <family val="2"/>
          </rPr>
          <t>Source:</t>
        </r>
        <r>
          <rPr>
            <sz val="8"/>
            <color indexed="81"/>
            <rFont val="Tahoma"/>
            <family val="2"/>
          </rPr>
          <t xml:space="preserve"> Communities and Local Government Research to Assess the Costs and Benefits of Improvements to the Water Efficiency of New Non-household Buildings (BD2683)
Equivalent to 15 seconds.</t>
        </r>
        <r>
          <rPr>
            <b/>
            <sz val="8"/>
            <color indexed="81"/>
            <rFont val="Tahoma"/>
            <family val="2"/>
          </rPr>
          <t xml:space="preserve">
</t>
        </r>
        <r>
          <rPr>
            <sz val="8"/>
            <color indexed="81"/>
            <rFont val="Tahoma"/>
            <family val="2"/>
          </rPr>
          <t xml:space="preserve">
</t>
        </r>
      </text>
    </comment>
    <comment ref="AD10" authorId="0" shapeId="0" xr:uid="{00000000-0006-0000-0200-000046000000}">
      <text>
        <r>
          <rPr>
            <sz val="8"/>
            <color indexed="81"/>
            <rFont val="Tahoma"/>
            <family val="2"/>
          </rPr>
          <t>Source: CLG domestic water efficiency calc, also used in BS8525 COP for greywater systems.</t>
        </r>
      </text>
    </comment>
    <comment ref="AE10" authorId="0" shapeId="0" xr:uid="{00000000-0006-0000-0200-000047000000}">
      <text>
        <r>
          <rPr>
            <sz val="8"/>
            <color indexed="81"/>
            <rFont val="Tahoma"/>
            <family val="2"/>
          </rPr>
          <t>Source: CLG domestic water efficiency calc, also used in BS8525 COP for greywater systems</t>
        </r>
      </text>
    </comment>
    <comment ref="AQ10" authorId="0" shapeId="0" xr:uid="{00000000-0006-0000-0200-000048000000}">
      <text>
        <r>
          <rPr>
            <b/>
            <sz val="8"/>
            <color indexed="81"/>
            <rFont val="Tahoma"/>
            <family val="2"/>
          </rPr>
          <t xml:space="preserve">MTP BNWat07 "Baths": </t>
        </r>
        <r>
          <rPr>
            <sz val="8"/>
            <color indexed="81"/>
            <rFont val="Tahoma"/>
            <family val="2"/>
          </rPr>
          <t>The average volume of water used per bath is approximately 40 % of the maximum volume of the bath as defined by the overflow point.
This reflects that a) people don't fill bath to the overflow and b) the Archimedes' principle of buoyancy i.e. average human will displace 70 litres of water.</t>
        </r>
        <r>
          <rPr>
            <sz val="8"/>
            <color indexed="81"/>
            <rFont val="Tahoma"/>
            <family val="2"/>
          </rPr>
          <t xml:space="preserve">
</t>
        </r>
      </text>
    </comment>
    <comment ref="AR10" authorId="0" shapeId="0" xr:uid="{00000000-0006-0000-0200-000049000000}">
      <text>
        <r>
          <rPr>
            <sz val="8"/>
            <color indexed="81"/>
            <rFont val="Tahoma"/>
            <family val="2"/>
          </rPr>
          <t>Two-thirds to account for the fact that taps will not to be run at full volume.</t>
        </r>
        <r>
          <rPr>
            <sz val="8"/>
            <color indexed="81"/>
            <rFont val="Tahoma"/>
            <family val="2"/>
          </rPr>
          <t xml:space="preserve">
</t>
        </r>
      </text>
    </comment>
    <comment ref="AU10" authorId="0" shapeId="0" xr:uid="{00000000-0006-0000-0200-00004A000000}">
      <text>
        <r>
          <rPr>
            <sz val="8"/>
            <color indexed="81"/>
            <rFont val="Tahoma"/>
            <family val="2"/>
          </rPr>
          <t>Equivalent to 9 litre cistern serving three urinals flushing 2.5 times an hour (Water Supply (Water Fittings) Regulations requirement for cistern supplying two or more urinals)</t>
        </r>
      </text>
    </comment>
    <comment ref="AV10" authorId="0" shapeId="0" xr:uid="{00000000-0006-0000-0200-00004B000000}">
      <text>
        <r>
          <rPr>
            <sz val="8"/>
            <color indexed="81"/>
            <rFont val="Tahoma"/>
            <family val="2"/>
          </rPr>
          <t>Equivalent to 9 litre cistern serving three urinals flushing twice an hour.</t>
        </r>
      </text>
    </comment>
    <comment ref="AW10" authorId="0" shapeId="0" xr:uid="{00000000-0006-0000-0200-00004C000000}">
      <text>
        <r>
          <rPr>
            <sz val="8"/>
            <color indexed="81"/>
            <rFont val="Tahoma"/>
            <family val="2"/>
          </rPr>
          <t>Equivalent to 9 litre cistern fluhing three urinals at intervals no more frequent than once per hour.</t>
        </r>
      </text>
    </comment>
    <comment ref="AX10" authorId="0" shapeId="0" xr:uid="{00000000-0006-0000-0200-00004D000000}">
      <text>
        <r>
          <rPr>
            <sz val="8"/>
            <color indexed="81"/>
            <rFont val="Tahoma"/>
            <family val="2"/>
          </rPr>
          <t>Equivalent to 9 litre cistern fluhing three urinals at intervals no more frequent than once every two hours.</t>
        </r>
        <r>
          <rPr>
            <sz val="8"/>
            <color indexed="81"/>
            <rFont val="Tahoma"/>
            <family val="2"/>
          </rPr>
          <t xml:space="preserve">
</t>
        </r>
      </text>
    </comment>
    <comment ref="AY10" authorId="0" shapeId="0" xr:uid="{00000000-0006-0000-0200-00004E000000}">
      <text>
        <r>
          <rPr>
            <sz val="8"/>
            <color indexed="81"/>
            <rFont val="Tahoma"/>
            <family val="2"/>
          </rPr>
          <t>Equivalent to 9 litre cistern flushing three urinals once every four hours.</t>
        </r>
      </text>
    </comment>
    <comment ref="AZ10" authorId="0" shapeId="0" xr:uid="{00000000-0006-0000-0200-00004F000000}">
      <text>
        <r>
          <rPr>
            <sz val="8"/>
            <color indexed="81"/>
            <rFont val="Tahoma"/>
            <family val="2"/>
          </rPr>
          <t>Waterless urinals</t>
        </r>
        <r>
          <rPr>
            <sz val="8"/>
            <color indexed="81"/>
            <rFont val="Tahoma"/>
            <family val="2"/>
          </rPr>
          <t xml:space="preserve">
</t>
        </r>
      </text>
    </comment>
    <comment ref="AU11" authorId="0" shapeId="0" xr:uid="{00000000-0006-0000-0200-000050000000}">
      <text>
        <r>
          <rPr>
            <sz val="8"/>
            <color indexed="81"/>
            <rFont val="Tahoma"/>
            <family val="2"/>
          </rPr>
          <t>Equivalent to 5 litre cistern serving one urinal flushing 2 times an hour (Water Supply (Water Fittings) Regulations requirement for cistern supplying one urinal).</t>
        </r>
      </text>
    </comment>
    <comment ref="AV11" authorId="0" shapeId="0" xr:uid="{00000000-0006-0000-0200-000051000000}">
      <text>
        <r>
          <rPr>
            <sz val="8"/>
            <color indexed="81"/>
            <rFont val="Tahoma"/>
            <family val="2"/>
          </rPr>
          <t>This is the equivalent proportion of improvement above the baseline (for one urinal) to that required for 2 urinls.</t>
        </r>
      </text>
    </comment>
    <comment ref="AW11" authorId="0" shapeId="0" xr:uid="{00000000-0006-0000-0200-000052000000}">
      <text>
        <r>
          <rPr>
            <sz val="8"/>
            <color indexed="81"/>
            <rFont val="Tahoma"/>
            <family val="2"/>
          </rPr>
          <t>This is the equivalent proportion of improvement above the baseline (for one urinal) to that required for 2 urinls.</t>
        </r>
      </text>
    </comment>
    <comment ref="AX11" authorId="0" shapeId="0" xr:uid="{00000000-0006-0000-0200-000053000000}">
      <text>
        <r>
          <rPr>
            <sz val="8"/>
            <color indexed="81"/>
            <rFont val="Tahoma"/>
            <family val="2"/>
          </rPr>
          <t>This is the equivalent proportion of improvement above the baseline (for one urinal) to that required for 2 urinls.</t>
        </r>
      </text>
    </comment>
    <comment ref="AY11" authorId="0" shapeId="0" xr:uid="{00000000-0006-0000-0200-000054000000}">
      <text>
        <r>
          <rPr>
            <sz val="8"/>
            <color indexed="81"/>
            <rFont val="Tahoma"/>
            <family val="2"/>
          </rPr>
          <t>This is the equivalent proportion of improvement above the baseline (for one urinal) to that required for 2 urinls.</t>
        </r>
      </text>
    </comment>
    <comment ref="AZ11" authorId="0" shapeId="0" xr:uid="{00000000-0006-0000-0200-000055000000}">
      <text>
        <r>
          <rPr>
            <sz val="8"/>
            <color indexed="81"/>
            <rFont val="Tahoma"/>
            <family val="2"/>
          </rPr>
          <t>Waterless urinals</t>
        </r>
        <r>
          <rPr>
            <sz val="8"/>
            <color indexed="81"/>
            <rFont val="Tahoma"/>
            <family val="2"/>
          </rPr>
          <t xml:space="preserve">
</t>
        </r>
      </text>
    </comment>
    <comment ref="AU12" authorId="0" shapeId="0" xr:uid="{00000000-0006-0000-0200-000056000000}">
      <text>
        <r>
          <rPr>
            <sz val="8"/>
            <color indexed="81"/>
            <rFont val="Tahoma"/>
            <family val="2"/>
          </rPr>
          <t>Requirement in The Water Supply (Water Fittings) Regulations 1999.</t>
        </r>
      </text>
    </comment>
    <comment ref="BA12" authorId="0" shapeId="0" xr:uid="{00000000-0006-0000-0200-000057000000}">
      <text>
        <r>
          <rPr>
            <sz val="8"/>
            <color indexed="81"/>
            <rFont val="Tahoma"/>
            <family val="2"/>
          </rPr>
          <t>Note: no specification against levels 1-5 as only the baseline level is needed for the purpose of this calculator for this type. This is the  spec used in the baseline building for urinals if the actual building contains waterless urinals.</t>
        </r>
      </text>
    </comment>
    <comment ref="AT13" authorId="0" shapeId="0" xr:uid="{00000000-0006-0000-0200-000058000000}">
      <text>
        <r>
          <rPr>
            <sz val="8"/>
            <color indexed="81"/>
            <rFont val="Tahoma"/>
            <family val="2"/>
          </rPr>
          <t>50% is the level required for credits in BREEAM 2008.
CLG Research to Assess the Costs and Benefits of Improvements to the Water Efficiency of New Non-household Buildings (Entec Oct 2009) specifies 75% of flushing demand from rainwater system for the proposed advanced level.
No level set for baseline and level 1 and 2. Level 3 set at a notional 25% to encourage specification or more improved component specification.</t>
        </r>
      </text>
    </comment>
    <comment ref="R14" authorId="0" shapeId="0" xr:uid="{00000000-0006-0000-0200-000059000000}">
      <text>
        <r>
          <rPr>
            <sz val="8"/>
            <color indexed="81"/>
            <rFont val="Tahoma"/>
            <family val="2"/>
          </rPr>
          <t>Source: Communities and Local Government Research to Assess the Costs and Benefits of Improvements to the Water Efficiency of New Non-household Buildings (Entec Oct 2009)</t>
        </r>
        <r>
          <rPr>
            <sz val="8"/>
            <color indexed="81"/>
            <rFont val="Tahoma"/>
            <family val="2"/>
          </rPr>
          <t xml:space="preserve">
</t>
        </r>
      </text>
    </comment>
    <comment ref="U14" authorId="0" shapeId="0" xr:uid="{00000000-0006-0000-0200-00005A000000}">
      <text>
        <r>
          <rPr>
            <sz val="8"/>
            <color indexed="81"/>
            <rFont val="Tahoma"/>
            <family val="2"/>
          </rPr>
          <t xml:space="preserve">One cycle accommodates 25 people i.e. 1/25=0.04 uses/person/day. 
Source: Communities and Local Government Research to Assess the Costs and Benefits of Improvements to the Water Efficiency of New Non-household Buildings (Entec Oct 2009).
</t>
        </r>
      </text>
    </comment>
    <comment ref="AH14" authorId="0" shapeId="0" xr:uid="{00000000-0006-0000-0200-00005B000000}">
      <text>
        <r>
          <rPr>
            <sz val="8"/>
            <color indexed="81"/>
            <rFont val="Tahoma"/>
            <family val="2"/>
          </rPr>
          <t>Communities and Local Government Research to Assess the Costs and Benefits of Improvements to the Water Efficiency of New Non-household Buildings (BD2683) states a factor of 0.67 for offices in its example calculation.</t>
        </r>
      </text>
    </comment>
    <comment ref="AT14" authorId="0" shapeId="0" xr:uid="{00000000-0006-0000-0200-00005C000000}">
      <text>
        <r>
          <rPr>
            <sz val="8"/>
            <color indexed="81"/>
            <rFont val="Tahoma"/>
            <family val="2"/>
          </rPr>
          <t>These figures will be adjusted by a factor of two-thirds in the calculation to account for the fact that taps tend not to be run at full volume.</t>
        </r>
        <r>
          <rPr>
            <sz val="8"/>
            <color indexed="81"/>
            <rFont val="Tahoma"/>
            <family val="2"/>
          </rPr>
          <t xml:space="preserve">
</t>
        </r>
      </text>
    </comment>
    <comment ref="AU14" authorId="0" shapeId="0" xr:uid="{00000000-0006-0000-0200-00005D000000}">
      <text>
        <r>
          <rPr>
            <sz val="8"/>
            <color indexed="81"/>
            <rFont val="Tahoma"/>
            <family val="2"/>
          </rPr>
          <t xml:space="preserve">Source: as WHB.
Also: Communities and Local Government Research to Assess the Costs and Benefits of Improvements to the Water Efficiency of New Non-household Buildings (Entec Oct 2009)
</t>
        </r>
      </text>
    </comment>
    <comment ref="AX14" authorId="0" shapeId="0" xr:uid="{00000000-0006-0000-0200-00005E000000}">
      <text>
        <r>
          <rPr>
            <b/>
            <sz val="8"/>
            <color indexed="81"/>
            <rFont val="Tahoma"/>
            <family val="2"/>
          </rPr>
          <t xml:space="preserve">Source: </t>
        </r>
        <r>
          <rPr>
            <sz val="8"/>
            <color indexed="81"/>
            <rFont val="Tahoma"/>
            <family val="2"/>
          </rPr>
          <t xml:space="preserve">Communities and Local Government Research to Assess the Costs and Benefits of Improvements to the Water Efficiency of New Non-household Buildings (Entec Oct 2009).
States 5 l/min in the minimum for the use of kitchen taps (due to them being used for cleaning/food prep).
</t>
        </r>
      </text>
    </comment>
    <comment ref="AY14" authorId="0" shapeId="0" xr:uid="{00000000-0006-0000-0200-00005F000000}">
      <text>
        <r>
          <rPr>
            <b/>
            <sz val="8"/>
            <color indexed="81"/>
            <rFont val="Tahoma"/>
            <family val="2"/>
          </rPr>
          <t xml:space="preserve">Source: </t>
        </r>
        <r>
          <rPr>
            <sz val="8"/>
            <color indexed="81"/>
            <rFont val="Tahoma"/>
            <family val="2"/>
          </rPr>
          <t xml:space="preserve">Communities and Local Government Research to Assess the Costs and Benefits of Improvements to the Water Efficiency of New Non-household Buildings (Entec Oct 2009).
States 5 l/min in the minimum for the use of kitchen taps (due to them being used for cleaning/food prep).
</t>
        </r>
      </text>
    </comment>
    <comment ref="AZ14" authorId="0" shapeId="0" xr:uid="{00000000-0006-0000-0200-000060000000}">
      <text>
        <r>
          <rPr>
            <b/>
            <sz val="8"/>
            <color indexed="81"/>
            <rFont val="Tahoma"/>
            <family val="2"/>
          </rPr>
          <t xml:space="preserve">Source: </t>
        </r>
        <r>
          <rPr>
            <sz val="8"/>
            <color indexed="81"/>
            <rFont val="Tahoma"/>
            <family val="2"/>
          </rPr>
          <t xml:space="preserve">Communities and Local Government Research to Assess the Costs and Benefits of Improvements to the Water Efficiency of New Non-household Buildings (Entec Oct 2009).
States 5 l/min in the minimum for the use of kitchen taps (due to them being used for cleaning/food prep).
</t>
        </r>
      </text>
    </comment>
    <comment ref="C15" authorId="0" shapeId="0" xr:uid="{00000000-0006-0000-0200-000061000000}">
      <text>
        <r>
          <rPr>
            <sz val="8"/>
            <color indexed="81"/>
            <rFont val="Tahoma"/>
            <family val="2"/>
          </rPr>
          <t xml:space="preserve">Note: this figure is use to calculated a default number of kitchen staff only.
An average restaurant has been modelled as having 25 employees serving 250 covers per day (Pacific Institute, 2003). For an office canteen/restaurant this figure is halved to 12.5 employees per 250 covers as it is assumed that office canteen/restaurants will not rely on a table service (as in a restaurant) and therefore will have less staff per cover as a result. Therefore, where there is a staff canteen/restaurant, the number of staff in that activity area is determined as follows:
An overall occupant density for seated dining areas of 0.358 persons/m2 is used for TCP B8 Class storage and distribution and 0.178 for TCP class B2-B7 general and special industrial to determine the number of people seated in the restaurant. Therefore, an average is used for this calculator of 0.268.
A period of 11am-3pm is used as a default hours of use by the building's staff, whereby occupant density fluctuates respectively during those hours as follows: 0.25, 1.0, 1.0, 0.75 (source NCM activity database); 
This results in an average occupant density of: 0.804 covers/hr/day.
If there are 12.5 kitchen employees per 250 covers, then there are 0.05 employees/cover; 
Therefore there are: 0.0402 kitchen employees/m2 of seated dining.
</t>
        </r>
      </text>
    </comment>
    <comment ref="V15" authorId="0" shapeId="0" xr:uid="{00000000-0006-0000-0200-000062000000}">
      <text>
        <r>
          <rPr>
            <sz val="8"/>
            <color indexed="81"/>
            <rFont val="Tahoma"/>
            <family val="2"/>
          </rPr>
          <t>It could be argued that there is likley to be a washing machine where there is a food preparation area, however, no data available for this component in this activity area. It is possible that it could be accounted for under the miscellaneous under food preparation (which is a fixed use).</t>
        </r>
      </text>
    </comment>
    <comment ref="Y15" authorId="0" shapeId="0" xr:uid="{00000000-0006-0000-0200-000063000000}">
      <text>
        <r>
          <rPr>
            <sz val="8"/>
            <color indexed="81"/>
            <rFont val="Tahoma"/>
            <family val="2"/>
          </rPr>
          <t>Units: litres/day
Fixed use for food preparation is based on a ‘standard’ restaurant. This ‘standard’ model gives details relating to a hotel with 25 staff serving 250 covers or meals per day, (source: BD2683 and sources contained therein), as follows:
0.33 kg of ice per meal
Food preparation sink: 113.4 litres (per day) / 250 covers = 0.4536 litres/cover
Food: 1.89 litres/cover
Total: 2.674 litres/cover
This figure is multiplied by 0.804 covers/m2 (see comment against occupant density for this building area for source of number) and the total area (m2) of the dining area to give the fixed use total here.
If there is no dining area, no figure is calculated.</t>
        </r>
      </text>
    </comment>
    <comment ref="Z15" authorId="0" shapeId="0" xr:uid="{00000000-0006-0000-0200-000064000000}">
      <text>
        <r>
          <rPr>
            <sz val="8"/>
            <color indexed="81"/>
            <rFont val="Arial"/>
            <family val="2"/>
          </rPr>
          <t>Units: litres/day
Fixed use for cleaning in a food preparation area is based on a ‘standard’ restaurant. This ‘standard’ model gives details relating to a hotel with 25 staff serving 250 covers or meals per day (Source: BD2683), as follows:
Pot and pan sink: 900 litres (3 x sinks filled with 150 litre capacity filled twice a day) / 250 covers = 3.6 litres/cover
Cleaning: 298.4 / 250 covers = 1.1936 litres/cover
Miscellaneous use: 378/250 = 1.52 litres/cover
Total: 6.314 litres/cover
This figure is multiplied by 0.804 covers/m2 (see comment against occupant density for this building area for source of number) and the total area (m2) of the dining area to give the fixed use total here.
If there is no dining area, no figure is calculated.</t>
        </r>
      </text>
    </comment>
    <comment ref="AI15" authorId="0" shapeId="0" xr:uid="{00000000-0006-0000-0200-000065000000}">
      <text>
        <r>
          <rPr>
            <b/>
            <sz val="8"/>
            <color indexed="81"/>
            <rFont val="Tahoma"/>
            <family val="2"/>
          </rPr>
          <t xml:space="preserve">Source: </t>
        </r>
        <r>
          <rPr>
            <sz val="8"/>
            <color indexed="81"/>
            <rFont val="Tahoma"/>
            <family val="2"/>
          </rPr>
          <t>washing up pre-rinse nozzles are used for 60 min per day (Pacific Institute, 2003; MWRA,1990)</t>
        </r>
        <r>
          <rPr>
            <sz val="8"/>
            <color indexed="81"/>
            <rFont val="Tahoma"/>
            <family val="2"/>
          </rPr>
          <t xml:space="preserve">
</t>
        </r>
      </text>
    </comment>
    <comment ref="AK15" authorId="0" shapeId="0" xr:uid="{00000000-0006-0000-0200-000066000000}">
      <text>
        <r>
          <rPr>
            <sz val="8"/>
            <color indexed="81"/>
            <rFont val="Tahoma"/>
            <family val="2"/>
          </rPr>
          <t>units: dishwasher cycle/m2
Communities and Local Government Research to Assess the Costs and Benefits of Improvements to the Water Efficiency of New Non-household Buildings (Entec Oct 2009) states each customer produces half a dishwasher rack of washing up per visit. This is for standard restaurant use. For an office canteen, this has been halved again to one quarter rack per cover on the basis that only one course is served at lunchtime, so less crockery than for standard restaurant (where two or three courses are to be assumed).
An overall occupant density for seated dining areas of 0.358 persons/m2 is used for TCP B8 Class storage and distribution and 0.178 for TCP class B2-B7 general and special industrial to determine the number of people seated in the restaurant. Therefore, an average is used for this calculator of 0.268.
A period of 11am-3pm is used as a default hours of use by the building's staff, whereby occupant density fluctuates respectively during those hours as follows: 0.25, 1.0, 1.0, 0.75 (source NCM activity database); 
This results in an average occupant density of: 0.804 covers/hr/day.
Therefore: 0.804 covers/m2/day * 0.25 racks/cover = 0.201 cycles/m2/day</t>
        </r>
      </text>
    </comment>
    <comment ref="AM15" authorId="0" shapeId="0" xr:uid="{00000000-0006-0000-0200-000067000000}">
      <text>
        <r>
          <rPr>
            <b/>
            <sz val="8"/>
            <color indexed="81"/>
            <rFont val="Tahoma"/>
            <family val="2"/>
          </rPr>
          <t>Source:</t>
        </r>
        <r>
          <rPr>
            <sz val="8"/>
            <color indexed="81"/>
            <rFont val="Tahoma"/>
            <family val="2"/>
          </rPr>
          <t xml:space="preserve"> waste disposal devices run for 30 min per day (Pacific Institute, 2003; MWRA,1990)</t>
        </r>
        <r>
          <rPr>
            <sz val="8"/>
            <color indexed="81"/>
            <rFont val="Tahoma"/>
            <family val="2"/>
          </rPr>
          <t xml:space="preserve">
</t>
        </r>
      </text>
    </comment>
    <comment ref="AT15" authorId="0" shapeId="0" xr:uid="{00000000-0006-0000-0200-000068000000}">
      <text>
        <r>
          <rPr>
            <sz val="8"/>
            <color indexed="81"/>
            <rFont val="Tahoma"/>
            <family val="2"/>
          </rPr>
          <t>Source: CLG research to Assess Costs and Benefits of Improvement to the Water Efficiency of New Non-Household Buildings states 10.3 as baseline and 6.3 as advanced level.
Internet search of products indicates nozzles available with flow rate less than 6 l/min, so 6 has been used as outstanding level. 
Intermediate levels linear between standard (10.3 l/min) and best practice (6.3 l/min)</t>
        </r>
        <r>
          <rPr>
            <sz val="8"/>
            <color indexed="81"/>
            <rFont val="Tahoma"/>
            <family val="2"/>
          </rPr>
          <t xml:space="preserve">
</t>
        </r>
      </text>
    </comment>
    <comment ref="C16" authorId="0" shapeId="0" xr:uid="{00000000-0006-0000-0200-000069000000}">
      <text>
        <r>
          <rPr>
            <sz val="8"/>
            <color indexed="81"/>
            <rFont val="Tahoma"/>
            <family val="2"/>
          </rPr>
          <t>For the purpose of this methodology zero has been used as the users of this facility will be the staff, whose number is determined based on the density of other activity areas , so to acount for occupancy against this activity area would double count the number of building users.</t>
        </r>
      </text>
    </comment>
    <comment ref="N16" authorId="0" shapeId="0" xr:uid="{00000000-0006-0000-0200-00006A000000}">
      <text>
        <r>
          <rPr>
            <sz val="8"/>
            <color indexed="81"/>
            <rFont val="Tahoma"/>
            <family val="2"/>
          </rPr>
          <t>For the purpose of shower use in this building type for a fitness suites/gym, it has been assumed that 80% of users of this facility will take a shower after use (this is a BRE assumption on the basis that most users will shower, though unlikely to be all, so a significant majority has been used).
The number of users for this facility has been determined as follows:
The percentage of all adults that undertake "30 minutes or more of moderate or vigorous activity on at least five days per week" is, according to the NHS Health Survey for England 2008 (Table 14 Trends table) 34%. The assumption has therefore been made that if a fitness suite is provided, then 50% of the staff who exercise for 30mins or more five times a week will take advantage of the fitness suite (or if not the suite, the changing/shower facilities becuase they jog or play other sports at work). Only half is used as it is assumed that at an equal number of the 34% will get their 30mins a day via attendance at sporting clubs outside of work.
The 3% of people that cycle to work in the UK (therefore fulfilling the recommended 30min requirement) has first been subtracted from 34% figure, prior to adjustments made above, and then added back on to the adjusted figure. This is because it has been assumed that all those who cycle will shower, therefore they should not be subject to the 80% and 50% adjustments.
Therefore, this usage ratio represents all shower use by staff in the building when a fitness suite/gym with a changing facilities is included (where it isn't the above usage ratio of 0.03 is used, which based on those who cycle).
No. of showers per person per day = ((34% - 3%) * 50% * 80%)) + 3% = 0.154 (15.4% of staff).</t>
        </r>
      </text>
    </comment>
    <comment ref="X16" authorId="0" shapeId="0" xr:uid="{00000000-0006-0000-0200-00006B000000}">
      <text>
        <r>
          <rPr>
            <sz val="8"/>
            <color indexed="81"/>
            <rFont val="Tahoma"/>
            <family val="2"/>
          </rPr>
          <t>CLG Research to Assess the Costs and Benefits of Improvements to the Water Efficiency of New Non-household Buildings states in its approach to drafting standard for leisure centres that each visitor uses 0.3 litre of water from a fountain or tap, for drinking (based on an average 1 hour visit). This figure has been used and adjusted to account for the 15.4% of staff that will use this facility (see note under shower use for how this figure was determined).
Fixed use vessel filling for the building (per/person) resulting from having a fitness suite is therefore: 0.3 * 0.154 = 0.05 litres.</t>
        </r>
      </text>
    </comment>
    <comment ref="AU16" authorId="0" shapeId="0" xr:uid="{00000000-0006-0000-0200-00006C000000}">
      <text>
        <r>
          <rPr>
            <sz val="8"/>
            <color indexed="81"/>
            <rFont val="Tahoma"/>
            <family val="2"/>
          </rPr>
          <t>Source: Communities and Local Government Research to Assess the Costs and Benefits of Improvements to the Water Efficiency of New Non-household Buildings (Entec Oct 2009)</t>
        </r>
      </text>
    </comment>
    <comment ref="AV16" authorId="0" shapeId="0" xr:uid="{00000000-0006-0000-0200-00006D000000}">
      <text>
        <r>
          <rPr>
            <sz val="8"/>
            <color indexed="81"/>
            <rFont val="Tahoma"/>
            <family val="2"/>
          </rPr>
          <t>Source: Communities and Local Government Research to Assess the Costs and Benefits of Improvements to the Water Efficiency of New Non-household Buildings (Entec Oct 2009)</t>
        </r>
      </text>
    </comment>
    <comment ref="AW16" authorId="0" shapeId="0" xr:uid="{00000000-0006-0000-0200-00006E000000}">
      <text>
        <r>
          <rPr>
            <sz val="8"/>
            <color indexed="81"/>
            <rFont val="Tahoma"/>
            <family val="2"/>
          </rPr>
          <t>Source: Communities and Local Government Research to Assess the Costs and Benefits of Improvements to the Water Efficiency of New Non-household Buildings (Entec Oct 2009)</t>
        </r>
      </text>
    </comment>
    <comment ref="AX16" authorId="1" shapeId="0" xr:uid="{00000000-0006-0000-0200-00006F000000}">
      <text>
        <r>
          <rPr>
            <b/>
            <sz val="8"/>
            <color indexed="81"/>
            <rFont val="Tahoma"/>
            <family val="2"/>
          </rPr>
          <t>BREEAM 2008 multi-res requirement</t>
        </r>
      </text>
    </comment>
    <comment ref="AZ16" authorId="0" shapeId="0" xr:uid="{00000000-0006-0000-0200-000070000000}">
      <text>
        <r>
          <rPr>
            <sz val="8"/>
            <color indexed="81"/>
            <rFont val="Tahoma"/>
            <family val="2"/>
          </rPr>
          <t>Waterwise 2007 dishwasher rankings contain products that achieve figures of 10, 9, 8 and 7.5 litres per cycle.</t>
        </r>
        <r>
          <rPr>
            <sz val="8"/>
            <color indexed="81"/>
            <rFont val="Tahoma"/>
            <family val="2"/>
          </rPr>
          <t xml:space="preserve">
</t>
        </r>
      </text>
    </comment>
    <comment ref="D17" authorId="0" shapeId="0" xr:uid="{00000000-0006-0000-0200-000071000000}">
      <text>
        <r>
          <rPr>
            <b/>
            <sz val="8"/>
            <color indexed="81"/>
            <rFont val="Tahoma"/>
            <family val="2"/>
          </rPr>
          <t>Source: BNWAT22</t>
        </r>
      </text>
    </comment>
    <comment ref="E17" authorId="0" shapeId="0" xr:uid="{00000000-0006-0000-0200-000072000000}">
      <text>
        <r>
          <rPr>
            <sz val="8"/>
            <color indexed="81"/>
            <rFont val="Tahoma"/>
            <family val="2"/>
          </rPr>
          <t xml:space="preserve">Assumes occupancy during 07.00-17.00hrs. Based on NCM database hours of occupancy for teaching space.
</t>
        </r>
      </text>
    </comment>
    <comment ref="I17" authorId="0" shapeId="0" xr:uid="{00000000-0006-0000-0200-000073000000}">
      <text>
        <r>
          <rPr>
            <sz val="8"/>
            <color indexed="81"/>
            <rFont val="Tahoma"/>
            <family val="2"/>
          </rPr>
          <t xml:space="preserve">Schools: BNWAT22 states two sanitary uses per day for pupils and a ratio of six urinal uses to 1 WC use. This equates to 0.33 uses per day for WCs and 1.66 for urinals (where urinals are specified).
Teachers/adults: Assumes the same ratio of use as adults in office building i.e. 4 uses per day, 1 WC to 3 urinal uses (where urinals are specified).
Overall figure: According to the National Statistics, DfE: School Workforce in England, November 2010 (statistical first release) the pupil teacher ratio for local authority maintained primary schools is 20.9. Therefore the usage for this component is aggregated to account for the contrubtion from staff and pupils, as follows:
Staff: 
1/20.9 = 0.0478 i.e. 4.8%
1 (uses/day) *0.048 = 0.048
Pupils:
20.9-1/20.9 = 0.952 i.e. 95.2%
0.33 (uses/day) * 0.952 = 0.314
Overall: 0.048 + 0.314 = 0.362 i.e. 0.36 aggregated uses per person.
</t>
        </r>
      </text>
    </comment>
    <comment ref="J17" authorId="0" shapeId="0" xr:uid="{00000000-0006-0000-0200-000074000000}">
      <text>
        <r>
          <rPr>
            <sz val="8"/>
            <color indexed="81"/>
            <rFont val="Tahoma"/>
            <family val="2"/>
          </rPr>
          <t>Schools: BNWAT22 states two sanitary uses per day for pupils.
Teachers/adults: Assumes the same ratio of use as adults in office building i.e. 4 uses per day.
Overall figure: According to the National Statistics, DfE: School Workforce in England, November 2010 (statistical first release) the pupil teacher ratio for local authority maintained primary schools is 20.9. Therefore the usage for this component is aggregated to account for the contrubtion from staff and pupils, as follows:
Staff: 
1/20.9 = 0.0478 i.e. 4.8%
4 (uses/day) *0.048 = 0.192
Pupils:
20.9-1/20.9 = 0.952 i.e. 95.2%
2 (uses/day) * 0.952 = 1.904
Overall: 1.904 + 0.192 = 2.096 i.e. 2.1 aggregated uses per person.</t>
        </r>
      </text>
    </comment>
    <comment ref="L17" authorId="0" shapeId="0" xr:uid="{00000000-0006-0000-0200-000075000000}">
      <text>
        <r>
          <rPr>
            <sz val="8"/>
            <color indexed="81"/>
            <rFont val="Tahoma"/>
            <family val="2"/>
          </rPr>
          <t>Schools: BNWAT22 states two sanitary uses per day for pupils and a ratio of six urinal uses to 1 WC use. This equates to 0.33 uses per day for WCs and 1.66 for urinals (where urinals are specified).
Teachers/adults: Assumes the same ratio of use as adults in office building i.e. 4 uses per day, 1 WC to 3 urinal uses (where urinals are specified).
Therefore, based on the aggregate pupil/staff figure of 2.10 sanitary uses per day (see WC male component for description of how this figure is calculated), the aggregate number of urinal uses per person(male) per day is:
2.10-0.36 = 1.74.</t>
        </r>
      </text>
    </comment>
    <comment ref="N17" authorId="0" shapeId="0" xr:uid="{00000000-0006-0000-0200-000076000000}">
      <text>
        <r>
          <rPr>
            <sz val="8"/>
            <color indexed="81"/>
            <rFont val="Tahoma"/>
            <family val="2"/>
          </rPr>
          <t xml:space="preserve">Pupils: No specific data available/found on shower use by pupils in schools. School Sport Survey 2007/08  found that 90% of pupils in partnership schools participated in at least two hours of high quality PE and out of hours school sport in a typical week (in accordance with the DfES service agreement for PE). For the purpose of this calculator, an assumption has been made that these two hours of sport are undetaken in two separate slots in the school week and that after each slot the pupils will take a shower (where showers are provided in the school). Therefore, the average shower use per pupil per day is 0.4 i.e. 2/5 days.
Staff: No specific figure for adult shower use in education buildings, therefore a figure of 0.03 is used, the same as that used for showers in offices (using the same assumptions). This figure has been aggregated according to the typical pupil teacher ratio in primary schools of 15.6 (Source: National Statistics, DfE: School Workforce in England, November 2010 (statistical first release)) as follows:
Staff: 
1/20.9 = 0.0478 i.e. 4.8%
0.03 (uses/day) *0.048 = 0.00144 i.e. 0.0014
Therefore, where no showers are available for pupils, the figure above of 0.0014 is used for staff in primary schools. </t>
        </r>
      </text>
    </comment>
    <comment ref="O17" authorId="0" shapeId="0" xr:uid="{00000000-0006-0000-0200-000077000000}">
      <text>
        <r>
          <rPr>
            <sz val="8"/>
            <color indexed="81"/>
            <rFont val="Tahoma"/>
            <family val="2"/>
          </rPr>
          <t>No bath use assumed in this building type.</t>
        </r>
      </text>
    </comment>
    <comment ref="P17" authorId="0" shapeId="0" xr:uid="{00000000-0006-0000-0200-000078000000}">
      <text>
        <r>
          <rPr>
            <sz val="8"/>
            <color indexed="81"/>
            <rFont val="Tahoma"/>
            <family val="2"/>
          </rPr>
          <t>No bath use assumed in this building type.</t>
        </r>
      </text>
    </comment>
    <comment ref="Q17" authorId="0" shapeId="0" xr:uid="{00000000-0006-0000-0200-000079000000}">
      <text>
        <r>
          <rPr>
            <sz val="8"/>
            <color indexed="81"/>
            <rFont val="Tahoma"/>
            <family val="2"/>
          </rPr>
          <t>No bath use assumed in this building type.</t>
        </r>
      </text>
    </comment>
    <comment ref="R17" authorId="0" shapeId="0" xr:uid="{00000000-0006-0000-0200-00007A000000}">
      <text>
        <r>
          <rPr>
            <sz val="8"/>
            <color indexed="81"/>
            <rFont val="Tahoma"/>
            <family val="2"/>
          </rPr>
          <t>As per offices, 1 component use per day for staff is used. Source: Communities and Local Government Research to Assess the Costs and Benefits of Improvements to the Water Efficiency of New Non-household Buildings (Entec Oct 2009). 
This figure is adjusted bythe pupil teacher ratio for primary schools of 20.9 (Source: National Statistics, DfE: School Workforce in England, November 2010 (statistical first release)) to account for only staff use in the per/person total:
1/20.9 = 0.0478 i.e. 4.8%
1 (uses/day) *0.048 = 0.048 i.e. 0.05.</t>
        </r>
        <r>
          <rPr>
            <sz val="8"/>
            <color indexed="81"/>
            <rFont val="Tahoma"/>
            <family val="2"/>
          </rPr>
          <t xml:space="preserve">
</t>
        </r>
      </text>
    </comment>
    <comment ref="X17" authorId="0" shapeId="0" xr:uid="{00000000-0006-0000-0200-00007B000000}">
      <text>
        <r>
          <rPr>
            <sz val="8"/>
            <color indexed="81"/>
            <rFont val="Tahoma"/>
            <family val="2"/>
          </rPr>
          <t>Pupils: MTP BNWat22 states 2 litres per pupil per day.
Staff: as per offices, BS8525 COP Greywater systems states a typical value of 1.58 litres/person/day.
This aggregate figure as been determined using the pupil teacher ratio for primary schools of 20.9 (Source: National Statistics, DfE: School Workforce in England, November 2010 (statistical first release)) as follows:
Staff: 
1/20.9 = 0.0478 i.e. 4.8%
1.58 (litres/day) *0.048 = 0.07584
Pupils:
20.9-1/20.9 = 0.952 i.e. 95.2%
2 (litres/day) * 0.952 = 1.904
Overall:  0.07584 + 1.904 = 1.97984  i.e. 1.98 aggregated litres per person.</t>
        </r>
      </text>
    </comment>
    <comment ref="AC17" authorId="0" shapeId="0" xr:uid="{00000000-0006-0000-0200-00007C000000}">
      <text>
        <r>
          <rPr>
            <b/>
            <sz val="8"/>
            <color indexed="81"/>
            <rFont val="Tahoma"/>
            <family val="2"/>
          </rPr>
          <t>Source:</t>
        </r>
        <r>
          <rPr>
            <sz val="8"/>
            <color indexed="81"/>
            <rFont val="Tahoma"/>
            <family val="2"/>
          </rPr>
          <t xml:space="preserve"> Communities and Local Government Research to Assess the Costs and Benefits of Improvements to the Water Efficiency of New Non-household Buildings (BD2683)
Equivalent to 15 seconds.</t>
        </r>
        <r>
          <rPr>
            <b/>
            <sz val="8"/>
            <color indexed="81"/>
            <rFont val="Tahoma"/>
            <family val="2"/>
          </rPr>
          <t xml:space="preserve">
</t>
        </r>
        <r>
          <rPr>
            <sz val="8"/>
            <color indexed="81"/>
            <rFont val="Tahoma"/>
            <family val="2"/>
          </rPr>
          <t xml:space="preserve">
</t>
        </r>
      </text>
    </comment>
    <comment ref="AD17" authorId="0" shapeId="0" xr:uid="{00000000-0006-0000-0200-00007D000000}">
      <text>
        <r>
          <rPr>
            <sz val="8"/>
            <color indexed="81"/>
            <rFont val="Tahoma"/>
            <family val="2"/>
          </rPr>
          <t>Pupils: For leisure centres BD2683 states that each swimmer uses a push button shower twice (60 seconds) after swimming i.e. 1 minute 20 second shower. This figure has been used for pupils in schools as it has been assumed to more accurately reflect the length of shower use for these users (5mins 60 seconds for adults in offices was deemed excessive for this type of user and activity).
Where no showers provided for pupils (but possibly for a staff shower is available) a default is used for staff as per offices, i.e.5.60 minutes (Source: CLG domestic water efficiency calc, also used in BS8525 COP for greywater systems).</t>
        </r>
      </text>
    </comment>
    <comment ref="AQ17" authorId="0" shapeId="0" xr:uid="{00000000-0006-0000-0200-00007E000000}">
      <text>
        <r>
          <rPr>
            <b/>
            <sz val="8"/>
            <color indexed="81"/>
            <rFont val="Tahoma"/>
            <family val="2"/>
          </rPr>
          <t xml:space="preserve">MTP BNWat07 "Baths": </t>
        </r>
        <r>
          <rPr>
            <sz val="8"/>
            <color indexed="81"/>
            <rFont val="Tahoma"/>
            <family val="2"/>
          </rPr>
          <t>The average volume of water used per bath is approximately 40 % of the maximum volume of the bath as defined by the overflow point.
This reflects that a) people don't fill bath to the overflow and b) the Archimedes' principle of buoyancy i.e. average human will displace 70 litres of water.</t>
        </r>
        <r>
          <rPr>
            <sz val="8"/>
            <color indexed="81"/>
            <rFont val="Tahoma"/>
            <family val="2"/>
          </rPr>
          <t xml:space="preserve">
</t>
        </r>
      </text>
    </comment>
    <comment ref="AR17" authorId="0" shapeId="0" xr:uid="{00000000-0006-0000-0200-00007F000000}">
      <text>
        <r>
          <rPr>
            <sz val="8"/>
            <color indexed="81"/>
            <rFont val="Tahoma"/>
            <family val="2"/>
          </rPr>
          <t>Two-thirds to account for the fact that taps will not to be run at full volume.</t>
        </r>
        <r>
          <rPr>
            <sz val="8"/>
            <color indexed="81"/>
            <rFont val="Tahoma"/>
            <family val="2"/>
          </rPr>
          <t xml:space="preserve">
</t>
        </r>
      </text>
    </comment>
    <comment ref="AT17" authorId="0" shapeId="0" xr:uid="{00000000-0006-0000-0200-000080000000}">
      <text>
        <r>
          <rPr>
            <sz val="8"/>
            <color indexed="81"/>
            <rFont val="Tahoma"/>
            <family val="2"/>
          </rPr>
          <t xml:space="preserve">Consumption uses litres per use (assuming a full load) rather than litres/kg, because that would require a factor of use for most building types which is not known.
WRAS requirements: appliances used for domestic purposes achieve the following water consumption performance per cycle:
Horizontal axis washing machine: 27 litres per kg washload (standard 60°C cotton cycle).
All new domestic washing machine products are well within this limit, the best are around 6 or 7 kg/litre.
</t>
        </r>
      </text>
    </comment>
    <comment ref="AU17" authorId="0" shapeId="0" xr:uid="{00000000-0006-0000-0200-000081000000}">
      <text>
        <r>
          <rPr>
            <b/>
            <sz val="8"/>
            <color indexed="81"/>
            <rFont val="Tahoma"/>
            <family val="2"/>
          </rPr>
          <t xml:space="preserve">Source: </t>
        </r>
        <r>
          <rPr>
            <sz val="8"/>
            <color indexed="81"/>
            <rFont val="Tahoma"/>
            <family val="2"/>
          </rPr>
          <t>CLG research to Assess Costs and Benefits of Improvement to the Water Efficiency of New Non-Household Buildings states 13.84 litres/kg is the baseline, this equates to approximately 90 litres/use (using a conversion factor of 6.5, based on average determined using Waterwise data).</t>
        </r>
        <r>
          <rPr>
            <sz val="8"/>
            <color indexed="81"/>
            <rFont val="Tahoma"/>
            <family val="2"/>
          </rPr>
          <t xml:space="preserve">
</t>
        </r>
      </text>
    </comment>
    <comment ref="AV17" authorId="0" shapeId="0" xr:uid="{00000000-0006-0000-0200-000082000000}">
      <text>
        <r>
          <rPr>
            <sz val="8"/>
            <color indexed="81"/>
            <rFont val="Tahoma"/>
            <family val="2"/>
          </rPr>
          <t>A Which? Test of washing machines stated results for the average of machines tested at 9.5 litres/kg. Using conversion factor used in baseline (see comment) this equates to just over 60 litres, so this has been used to set the pass level.</t>
        </r>
        <r>
          <rPr>
            <sz val="8"/>
            <color indexed="81"/>
            <rFont val="Tahoma"/>
            <family val="2"/>
          </rPr>
          <t xml:space="preserve">
This also corresponds with the average from CLG Research, appendix L data.</t>
        </r>
      </text>
    </comment>
    <comment ref="AX17" authorId="1" shapeId="0" xr:uid="{00000000-0006-0000-0200-000083000000}">
      <text>
        <r>
          <rPr>
            <sz val="8"/>
            <color indexed="81"/>
            <rFont val="Tahoma"/>
            <family val="2"/>
          </rPr>
          <t>BREEAM 2008 multi-res requirement
According to Waterwise database of washing machine products, this is at the top end of the list in terms of water efficient products available, at the time.</t>
        </r>
      </text>
    </comment>
    <comment ref="AZ17" authorId="0" shapeId="0" xr:uid="{00000000-0006-0000-0200-000084000000}">
      <text>
        <r>
          <rPr>
            <sz val="8"/>
            <color indexed="81"/>
            <rFont val="Tahoma"/>
            <family val="2"/>
          </rPr>
          <t xml:space="preserve">
, appendix L gives a minimum of 4.5 l/kg for a range of appliances assessed.</t>
        </r>
        <r>
          <rPr>
            <sz val="8"/>
            <color indexed="81"/>
            <rFont val="Tahoma"/>
            <family val="2"/>
          </rPr>
          <t xml:space="preserve">
Using th econversion factor of 6.5 (see other comment box) this equates to approx 30 litres/use.
This also agrees with a Which? test of products, which stated the best was 31 litres.</t>
        </r>
      </text>
    </comment>
    <comment ref="D18" authorId="0" shapeId="0" xr:uid="{00000000-0006-0000-0200-000085000000}">
      <text>
        <r>
          <rPr>
            <b/>
            <sz val="8"/>
            <color indexed="81"/>
            <rFont val="Tahoma"/>
            <family val="2"/>
          </rPr>
          <t>Source: BNWAT22</t>
        </r>
      </text>
    </comment>
    <comment ref="E18" authorId="0" shapeId="0" xr:uid="{00000000-0006-0000-0200-000086000000}">
      <text>
        <r>
          <rPr>
            <sz val="8"/>
            <color indexed="81"/>
            <rFont val="Tahoma"/>
            <family val="2"/>
          </rPr>
          <t xml:space="preserve">Assumes occupancy during 07.00-17.00hrs. Based on NCM database hours of occupancy for teaching space.
</t>
        </r>
      </text>
    </comment>
    <comment ref="I18" authorId="0" shapeId="0" xr:uid="{00000000-0006-0000-0200-000087000000}">
      <text>
        <r>
          <rPr>
            <sz val="8"/>
            <color indexed="81"/>
            <rFont val="Tahoma"/>
            <family val="2"/>
          </rPr>
          <t>Schools: BNWAT22 states two sanitary uses per day for pupils and a ratio of six urinal uses to 1 WC use. This equates to 0.33 uses per day for WCs and 1.66 for urinals (where urinals are specified).
Teachers/adults: Assumes the same ratio of use as adults in office building i.e. 4 uses per day, 1 WC to 3 urinal uses (where urinals are specified).
Overall figure: According to the National Statistics, DfE: School Workforce in England, November 2010 (statistical first release) the pupil teacher ratio for local authority maintained seocndary schools is 15.6. Therefore the usage for this component is aggregated to account for the contrubtion from staff and pupils, as follows:
Staff: 
1/15.6 = 0.0641 i.e. 6.4%
1 (uses/day) *0.064 = 0.064
Pupils:
15.6-1/15.6 = 0.9358 i.e. 93.6%
0.33 (uses/day) * 0.936 = 0.3088
Overall: 0.064 + 0.3088 = 0.372 i.e. 0.37 aggregated uses per person.</t>
        </r>
        <r>
          <rPr>
            <b/>
            <sz val="8"/>
            <color indexed="81"/>
            <rFont val="Tahoma"/>
            <family val="2"/>
          </rPr>
          <t xml:space="preserve">
</t>
        </r>
        <r>
          <rPr>
            <sz val="8"/>
            <color indexed="81"/>
            <rFont val="Tahoma"/>
            <family val="2"/>
          </rPr>
          <t xml:space="preserve">
</t>
        </r>
      </text>
    </comment>
    <comment ref="J18" authorId="0" shapeId="0" xr:uid="{00000000-0006-0000-0200-000088000000}">
      <text>
        <r>
          <rPr>
            <sz val="8"/>
            <color indexed="81"/>
            <rFont val="Tahoma"/>
            <family val="2"/>
          </rPr>
          <t xml:space="preserve">Schools: BNWAT22 states two sanitary uses per day for pupils.
Teachers/adults: Assumes the same ratio of use as adults in office building i.e. 4 uses per day.
Overall figure: According to the National Statistics, DfE: School Workforce in England, November 2010 (statistical first release) the pupil teacher ratio for local authority maintained secondary schools is 15.6. Therefore the usage for this component is aggregated to account for the contrubtion from staff and pupils, as follows:
Staff: 
1/15.6 = 0.0641 i.e. 6.4%
4 (uses/day) *0.0641 = 0.2564
Pupils:
15.6-1/15.6 = 0.93589 i.e. 93.6%
2 (uses/day) * 0.936 = 1.872
Overall: 0.2564 + 1.872 = 2.1284 i.e. 2.13 aggregated uses per person.
</t>
        </r>
      </text>
    </comment>
    <comment ref="L18" authorId="0" shapeId="0" xr:uid="{00000000-0006-0000-0200-000089000000}">
      <text>
        <r>
          <rPr>
            <sz val="8"/>
            <color indexed="81"/>
            <rFont val="Tahoma"/>
            <family val="2"/>
          </rPr>
          <t xml:space="preserve">Schools: BNWAT22 states two sanitary uses per day for pupils and a ratio of six urinal uses to 1 WC use. This equates to 0.33 uses per day for WCs and 1.66 for urinals (where urinals are specified).
Teachers/adults: Assumes the same ratio of use as adults in office building i.e. 4 uses per day, 1 WC to 3 urinal uses (where urinals are specified).
Therefore, based on the aggregate pupil/staff figure of 2.13 sanitary uses per day (see WC male component for description of how this figure is calculated), the aggregate number of urinal uses per person(male) per day is:
2.13-0.37 = 1.76.
</t>
        </r>
      </text>
    </comment>
    <comment ref="N18" authorId="0" shapeId="0" xr:uid="{00000000-0006-0000-0200-00008A000000}">
      <text>
        <r>
          <rPr>
            <sz val="8"/>
            <color indexed="81"/>
            <rFont val="Tahoma"/>
            <family val="2"/>
          </rPr>
          <t>Pupils: No specific data available/found on shower use by pupils in schools. School Sport Survey 2007/08  found that 90% of pupils in partnership schools participated in at least two hours of high quality PE and out of hours school sport in a typical week (in accordance with the DfES service agreement for PE). For the purpose of this calculator, an assumption has been made that these two hours of sport are undetaken in two separate slots in the school week and that after each slot the pupils will take a shower (where showers are provided in the school). Therefore, the average shower use per pupil per day is 0.4 i.e. 2/5 days.
Staff: No specific figure for adult shower use in education buildings, therefore a figure of 0.03 is used, the same as that used for showers in offices (using the same assumptions). This figure has been aggregated according to the typical pupil teacher ratio in secondary schools of 15.6 (Source: National Statistics, DfE: School Workforce in England, November 2010 (statistical first release)) as follows:
Staff: 
1/15.6 = 0.0641 i.e. 6.4%
0.03 (uses/day) *0.064 = 0.00192 i.e. 0.002
Therefore, where no showers are available for pupils, the figure above of 0.002 is used in secondary schools.</t>
        </r>
      </text>
    </comment>
    <comment ref="O18" authorId="0" shapeId="0" xr:uid="{00000000-0006-0000-0200-00008B000000}">
      <text>
        <r>
          <rPr>
            <sz val="8"/>
            <color indexed="81"/>
            <rFont val="Tahoma"/>
            <family val="2"/>
          </rPr>
          <t>No bath use assumed in this building type.</t>
        </r>
      </text>
    </comment>
    <comment ref="P18" authorId="0" shapeId="0" xr:uid="{00000000-0006-0000-0200-00008C000000}">
      <text>
        <r>
          <rPr>
            <sz val="8"/>
            <color indexed="81"/>
            <rFont val="Tahoma"/>
            <family val="2"/>
          </rPr>
          <t>No bath use assumed in this building type.</t>
        </r>
      </text>
    </comment>
    <comment ref="Q18" authorId="0" shapeId="0" xr:uid="{00000000-0006-0000-0200-00008D000000}">
      <text>
        <r>
          <rPr>
            <sz val="8"/>
            <color indexed="81"/>
            <rFont val="Tahoma"/>
            <family val="2"/>
          </rPr>
          <t>No bath use assumed in this building type.</t>
        </r>
      </text>
    </comment>
    <comment ref="R18" authorId="0" shapeId="0" xr:uid="{00000000-0006-0000-0200-00008E000000}">
      <text>
        <r>
          <rPr>
            <sz val="8"/>
            <color indexed="81"/>
            <rFont val="Tahoma"/>
            <family val="2"/>
          </rPr>
          <t>As per offices, 1 component use per day for staff is used. Source: Communities and Local Government Research to Assess the Costs and Benefits of Improvements to the Water Efficiency of New Non-household Buildings (Entec Oct 2009). 
This figure is adjusted bythe pupil teacher ratio for secondary schools of 15.6 (Source: National Statistics, DfE: School Workforce in England, November 2010 (statistical first release)) to account for only staff use in the per/person total:
1/15.6 = 0.0641 i.e. 6.4%
1 (uses/day) *0.064 = 0.064 i.e. 0.06.</t>
        </r>
        <r>
          <rPr>
            <sz val="8"/>
            <color indexed="81"/>
            <rFont val="Tahoma"/>
            <family val="2"/>
          </rPr>
          <t xml:space="preserve">
</t>
        </r>
      </text>
    </comment>
    <comment ref="X18" authorId="0" shapeId="0" xr:uid="{00000000-0006-0000-0200-00008F000000}">
      <text>
        <r>
          <rPr>
            <sz val="8"/>
            <color indexed="81"/>
            <rFont val="Tahoma"/>
            <family val="2"/>
          </rPr>
          <t xml:space="preserve">Pupils: MTP BNWat22 states 2 litres per pupil per day.
Staff: as per offices, BS8525 COP Greywater systems states a typical value of 1.58 litres/person/day.
These figures have been aggregated according to the typical pupil teacher ratio in secondary schools of 15.6 (Source: National Statistics, DfE: School Workforce in England, November 2010 (statistical first release)) as follows:
Staff: 
1/15.6 = 0.0641 i.e. 6.4%
1.58 (litres/day) *0.0641 = 0.1012
Pupils:
15.6-1/15.6 = 0.93589 i.e. 93.6%
2.0 (litres/day) * 0.936 = 1.872
Overall: 0.1012 + 1.872 = 1.9732 i.e. 1.97 aggregated litres per person.
</t>
        </r>
      </text>
    </comment>
    <comment ref="AC18" authorId="0" shapeId="0" xr:uid="{00000000-0006-0000-0200-000090000000}">
      <text>
        <r>
          <rPr>
            <b/>
            <sz val="8"/>
            <color indexed="81"/>
            <rFont val="Tahoma"/>
            <family val="2"/>
          </rPr>
          <t>Source:</t>
        </r>
        <r>
          <rPr>
            <sz val="8"/>
            <color indexed="81"/>
            <rFont val="Tahoma"/>
            <family val="2"/>
          </rPr>
          <t xml:space="preserve"> Communities and Local Government Research to Assess the Costs and Benefits of Improvements to the Water Efficiency of New Non-household Buildings (BD2683)
Equivalent to 15 seconds.</t>
        </r>
        <r>
          <rPr>
            <b/>
            <sz val="8"/>
            <color indexed="81"/>
            <rFont val="Tahoma"/>
            <family val="2"/>
          </rPr>
          <t xml:space="preserve">
</t>
        </r>
        <r>
          <rPr>
            <sz val="8"/>
            <color indexed="81"/>
            <rFont val="Tahoma"/>
            <family val="2"/>
          </rPr>
          <t xml:space="preserve">
</t>
        </r>
      </text>
    </comment>
    <comment ref="AD18" authorId="0" shapeId="0" xr:uid="{00000000-0006-0000-0200-000091000000}">
      <text>
        <r>
          <rPr>
            <sz val="8"/>
            <color indexed="81"/>
            <rFont val="Tahoma"/>
            <family val="2"/>
          </rPr>
          <t xml:space="preserve">Pupils: For leisure centres BD2683 states that each swimmer uses a push button shower twice (60 seconds) after swimming i.e. 1 minute 20 second shower. This figure has been used for pupils in schools as it has been assumed to more accurately reflect the length of shower use for these users (5mins 60 seconds for adults in offices was deemed excessive for this type of user and activity).
Where no showers provided for pupils (but possibly for a staff shower is available) a default is used for staff as per offices, i.e.5.60 minutes (Source: CLG domestic water efficiency calc, also used in BS8525 COP for greywater systems).
</t>
        </r>
      </text>
    </comment>
    <comment ref="AQ18" authorId="0" shapeId="0" xr:uid="{00000000-0006-0000-0200-000092000000}">
      <text>
        <r>
          <rPr>
            <b/>
            <sz val="8"/>
            <color indexed="81"/>
            <rFont val="Tahoma"/>
            <family val="2"/>
          </rPr>
          <t xml:space="preserve">MTP BNWat07 "Baths": </t>
        </r>
        <r>
          <rPr>
            <sz val="8"/>
            <color indexed="81"/>
            <rFont val="Tahoma"/>
            <family val="2"/>
          </rPr>
          <t>The average volume of water used per bath is approximately 40 % of the maximum volume of the bath as defined by the overflow point.
This reflects that a) people don't fill bath to the overflow and b) the Archimedes' principle of buoyancy i.e. average human will displace 70 litres of water.</t>
        </r>
        <r>
          <rPr>
            <sz val="8"/>
            <color indexed="81"/>
            <rFont val="Tahoma"/>
            <family val="2"/>
          </rPr>
          <t xml:space="preserve">
</t>
        </r>
      </text>
    </comment>
    <comment ref="AR18" authorId="0" shapeId="0" xr:uid="{00000000-0006-0000-0200-000093000000}">
      <text>
        <r>
          <rPr>
            <sz val="8"/>
            <color indexed="81"/>
            <rFont val="Tahoma"/>
            <family val="2"/>
          </rPr>
          <t>Two-thirds to account for the fact that taps will not to be run at full volume.</t>
        </r>
        <r>
          <rPr>
            <sz val="8"/>
            <color indexed="81"/>
            <rFont val="Tahoma"/>
            <family val="2"/>
          </rPr>
          <t xml:space="preserve">
</t>
        </r>
      </text>
    </comment>
    <comment ref="AT18" authorId="0" shapeId="0" xr:uid="{00000000-0006-0000-0200-000094000000}">
      <text>
        <r>
          <rPr>
            <b/>
            <sz val="8"/>
            <color indexed="81"/>
            <rFont val="Tahoma"/>
            <family val="2"/>
          </rPr>
          <t>Source:</t>
        </r>
        <r>
          <rPr>
            <sz val="8"/>
            <color indexed="81"/>
            <rFont val="Tahoma"/>
            <family val="2"/>
          </rPr>
          <t xml:space="preserve"> CLG research to Assess Costs and Benefits of Improvement to the Water Efficiency of New Non-Household Buildings states 17.0 as baseline, basic and intermediate specification; with advanced spec being "device removed".
Water-efficient-building.org states: Installation and use of waste disposal units is discouraged. In addition to their water consumption, disposing of food waste down the sink can lead to blockages, flooding, environmental pollution, odours and other public health hazards, including encouraging rat populations.
Therefore, for BREEAM, no device fitted is the option defined for levels 2 - 5. This is to encourage the recycling/composting of food waste, not disposal to mains sewer.</t>
        </r>
        <r>
          <rPr>
            <sz val="8"/>
            <color indexed="81"/>
            <rFont val="Tahoma"/>
            <family val="2"/>
          </rPr>
          <t xml:space="preserve">
http://www.water.org.uk/home/policy/positions/waste-macerators-position-paper</t>
        </r>
      </text>
    </comment>
    <comment ref="D19" authorId="0" shapeId="0" xr:uid="{00000000-0006-0000-0200-000095000000}">
      <text>
        <r>
          <rPr>
            <b/>
            <sz val="8"/>
            <color indexed="81"/>
            <rFont val="Tahoma"/>
            <family val="2"/>
          </rPr>
          <t>Source: BNWAT22</t>
        </r>
      </text>
    </comment>
    <comment ref="E19" authorId="0" shapeId="0" xr:uid="{00000000-0006-0000-0200-000096000000}">
      <text>
        <r>
          <rPr>
            <sz val="8"/>
            <color indexed="81"/>
            <rFont val="Tahoma"/>
            <family val="2"/>
          </rPr>
          <t xml:space="preserve">Assumes occupancy during 07.00-17.00hrs. Based on NCM database hours of occupancy for teaching space.
</t>
        </r>
      </text>
    </comment>
    <comment ref="I19" authorId="0" shapeId="0" xr:uid="{00000000-0006-0000-0200-000097000000}">
      <text>
        <r>
          <rPr>
            <sz val="8"/>
            <color indexed="81"/>
            <rFont val="Tahoma"/>
            <family val="2"/>
          </rPr>
          <t>Assumes the same ratio of use as adults in office building.</t>
        </r>
      </text>
    </comment>
    <comment ref="J19" authorId="0" shapeId="0" xr:uid="{00000000-0006-0000-0200-000098000000}">
      <text>
        <r>
          <rPr>
            <sz val="8"/>
            <color indexed="81"/>
            <rFont val="Tahoma"/>
            <family val="2"/>
          </rPr>
          <t>Assumes the same ratio of use as adults in office building.</t>
        </r>
        <r>
          <rPr>
            <b/>
            <sz val="8"/>
            <color indexed="81"/>
            <rFont val="Tahoma"/>
            <family val="2"/>
          </rPr>
          <t xml:space="preserve">
</t>
        </r>
        <r>
          <rPr>
            <sz val="8"/>
            <color indexed="81"/>
            <rFont val="Tahoma"/>
            <family val="2"/>
          </rPr>
          <t xml:space="preserve">
</t>
        </r>
      </text>
    </comment>
    <comment ref="N19" authorId="0" shapeId="0" xr:uid="{00000000-0006-0000-0200-000099000000}">
      <text>
        <r>
          <rPr>
            <sz val="8"/>
            <color indexed="81"/>
            <rFont val="Tahoma"/>
            <family val="2"/>
          </rPr>
          <t>No specific figure for adult shower use in education buildings, therefore the figure is the same as that used for showers in offices where there is no sporting facility/gym i.e. 0.03 or where there is a sporting facility i.e. 0.154 (using the same assumptions).</t>
        </r>
      </text>
    </comment>
    <comment ref="O19" authorId="0" shapeId="0" xr:uid="{00000000-0006-0000-0200-00009A000000}">
      <text>
        <r>
          <rPr>
            <sz val="8"/>
            <color indexed="81"/>
            <rFont val="Tahoma"/>
            <family val="2"/>
          </rPr>
          <t>No bath use assumed in this building type.</t>
        </r>
      </text>
    </comment>
    <comment ref="P19" authorId="0" shapeId="0" xr:uid="{00000000-0006-0000-0200-00009B000000}">
      <text>
        <r>
          <rPr>
            <sz val="8"/>
            <color indexed="81"/>
            <rFont val="Tahoma"/>
            <family val="2"/>
          </rPr>
          <t>No bath use assumed in this building type.</t>
        </r>
      </text>
    </comment>
    <comment ref="Q19" authorId="0" shapeId="0" xr:uid="{00000000-0006-0000-0200-00009C000000}">
      <text>
        <r>
          <rPr>
            <sz val="8"/>
            <color indexed="81"/>
            <rFont val="Tahoma"/>
            <family val="2"/>
          </rPr>
          <t>No bath use assumed in this building type.</t>
        </r>
      </text>
    </comment>
    <comment ref="R19" authorId="0" shapeId="0" xr:uid="{00000000-0006-0000-0200-00009D000000}">
      <text>
        <r>
          <rPr>
            <sz val="8"/>
            <color indexed="81"/>
            <rFont val="Tahoma"/>
            <family val="2"/>
          </rPr>
          <t>As per offices, 1 component use per day for staff is used. Source: Communities and Local Government Research to Assess the Costs and Benefits of Improvements to the Water Efficiency of New Non-household Buildings (Entec Oct 2009).
This figure is adjusted to account for the student:teacher ratio in Further Education of 19.9 (source: http://www.ucu.org.uk/index.cfm?articleid=4624). as follows:
1/19.9 = 0.0505 i.e. 5.1%
1 uses/day * 0.051 = 0.051</t>
        </r>
      </text>
    </comment>
    <comment ref="X19" authorId="0" shapeId="0" xr:uid="{00000000-0006-0000-0200-00009E000000}">
      <text>
        <r>
          <rPr>
            <sz val="8"/>
            <color indexed="81"/>
            <rFont val="Tahoma"/>
            <family val="2"/>
          </rPr>
          <t xml:space="preserve">As per offices for adults i.e. teachers, staff and students.
</t>
        </r>
      </text>
    </comment>
    <comment ref="AC19" authorId="0" shapeId="0" xr:uid="{00000000-0006-0000-0200-00009F000000}">
      <text>
        <r>
          <rPr>
            <b/>
            <sz val="8"/>
            <color indexed="81"/>
            <rFont val="Tahoma"/>
            <family val="2"/>
          </rPr>
          <t>Source:</t>
        </r>
        <r>
          <rPr>
            <sz val="8"/>
            <color indexed="81"/>
            <rFont val="Tahoma"/>
            <family val="2"/>
          </rPr>
          <t xml:space="preserve"> Communities and Local Government Research to Assess the Costs and Benefits of Improvements to the Water Efficiency of New Non-household Buildings (BD2683)
Equivalent to 15 seconds.</t>
        </r>
        <r>
          <rPr>
            <b/>
            <sz val="8"/>
            <color indexed="81"/>
            <rFont val="Tahoma"/>
            <family val="2"/>
          </rPr>
          <t xml:space="preserve">
</t>
        </r>
        <r>
          <rPr>
            <sz val="8"/>
            <color indexed="81"/>
            <rFont val="Tahoma"/>
            <family val="2"/>
          </rPr>
          <t xml:space="preserve">
</t>
        </r>
      </text>
    </comment>
    <comment ref="AD19" authorId="0" shapeId="0" xr:uid="{00000000-0006-0000-0200-0000A0000000}">
      <text>
        <r>
          <rPr>
            <sz val="8"/>
            <color indexed="81"/>
            <rFont val="Tahoma"/>
            <family val="2"/>
          </rPr>
          <t>Source: as per office.</t>
        </r>
      </text>
    </comment>
    <comment ref="AQ19" authorId="0" shapeId="0" xr:uid="{00000000-0006-0000-0200-0000A1000000}">
      <text>
        <r>
          <rPr>
            <b/>
            <sz val="8"/>
            <color indexed="81"/>
            <rFont val="Tahoma"/>
            <family val="2"/>
          </rPr>
          <t xml:space="preserve">MTP BNWat07 "Baths": </t>
        </r>
        <r>
          <rPr>
            <sz val="8"/>
            <color indexed="81"/>
            <rFont val="Tahoma"/>
            <family val="2"/>
          </rPr>
          <t>The average volume of water used per bath is approximately 40 % of the maximum volume of the bath as defined by the overflow point.
This reflects that a) people don't fill bath to the overflow and b) the Archimedes' principle of buoyancy i.e. average human will displace 70 litres of water.</t>
        </r>
        <r>
          <rPr>
            <sz val="8"/>
            <color indexed="81"/>
            <rFont val="Tahoma"/>
            <family val="2"/>
          </rPr>
          <t xml:space="preserve">
</t>
        </r>
      </text>
    </comment>
    <comment ref="AR19" authorId="0" shapeId="0" xr:uid="{00000000-0006-0000-0200-0000A2000000}">
      <text>
        <r>
          <rPr>
            <sz val="8"/>
            <color indexed="81"/>
            <rFont val="Tahoma"/>
            <family val="2"/>
          </rPr>
          <t>Two-thirds to account for the fact that taps will not to be run at full volume.</t>
        </r>
        <r>
          <rPr>
            <sz val="8"/>
            <color indexed="81"/>
            <rFont val="Tahoma"/>
            <family val="2"/>
          </rPr>
          <t xml:space="preserve">
</t>
        </r>
      </text>
    </comment>
    <comment ref="AT19" authorId="0" shapeId="0" xr:uid="{00000000-0006-0000-0200-0000A3000000}">
      <text>
        <r>
          <rPr>
            <b/>
            <sz val="8"/>
            <color indexed="81"/>
            <rFont val="Tahoma"/>
            <family val="2"/>
          </rPr>
          <t xml:space="preserve">Source: </t>
        </r>
        <r>
          <rPr>
            <sz val="8"/>
            <color indexed="81"/>
            <rFont val="Tahoma"/>
            <family val="2"/>
          </rPr>
          <t>CLG research to Assess Costs and Benefits of Improvement to the Water Efficiency of New Non-Household Buildings states the following for dishwasher use in restaurants.
Baseline: 8 l/rack
Basic: 6.83 l/rack
Intermediate: 5 l/rack
Advanced: 3 l/rack</t>
        </r>
        <r>
          <rPr>
            <b/>
            <sz val="8"/>
            <color indexed="81"/>
            <rFont val="Tahoma"/>
            <family val="2"/>
          </rPr>
          <t xml:space="preserve">
</t>
        </r>
        <r>
          <rPr>
            <sz val="8"/>
            <color indexed="81"/>
            <rFont val="Tahoma"/>
            <family val="2"/>
          </rPr>
          <t xml:space="preserve">
These figures have been used to determine benchmarks for BREEAM purposes.</t>
        </r>
      </text>
    </comment>
    <comment ref="D20" authorId="0" shapeId="0" xr:uid="{00000000-0006-0000-0200-0000A4000000}">
      <text>
        <r>
          <rPr>
            <b/>
            <sz val="8"/>
            <color indexed="81"/>
            <rFont val="Tahoma"/>
            <family val="2"/>
          </rPr>
          <t>Source: BNWAT22</t>
        </r>
      </text>
    </comment>
    <comment ref="E20" authorId="0" shapeId="0" xr:uid="{00000000-0006-0000-0200-0000A5000000}">
      <text>
        <r>
          <rPr>
            <sz val="8"/>
            <color indexed="81"/>
            <rFont val="Tahoma"/>
            <family val="2"/>
          </rPr>
          <t xml:space="preserve">Assumes occupancy during 07.00-17.00hrs. Based on NCM database hours of occupancy for teaching space.
</t>
        </r>
      </text>
    </comment>
    <comment ref="I20" authorId="0" shapeId="0" xr:uid="{00000000-0006-0000-0200-0000A6000000}">
      <text>
        <r>
          <rPr>
            <sz val="8"/>
            <color indexed="81"/>
            <rFont val="Tahoma"/>
            <family val="2"/>
          </rPr>
          <t>Assumes the same ratio of use as adults in office building.</t>
        </r>
      </text>
    </comment>
    <comment ref="J20" authorId="0" shapeId="0" xr:uid="{00000000-0006-0000-0200-0000A7000000}">
      <text>
        <r>
          <rPr>
            <sz val="8"/>
            <color indexed="81"/>
            <rFont val="Tahoma"/>
            <family val="2"/>
          </rPr>
          <t>Assumes the same ratio of use as adults in office building.</t>
        </r>
        <r>
          <rPr>
            <b/>
            <sz val="8"/>
            <color indexed="81"/>
            <rFont val="Tahoma"/>
            <family val="2"/>
          </rPr>
          <t xml:space="preserve">
</t>
        </r>
        <r>
          <rPr>
            <sz val="8"/>
            <color indexed="81"/>
            <rFont val="Tahoma"/>
            <family val="2"/>
          </rPr>
          <t xml:space="preserve">
</t>
        </r>
      </text>
    </comment>
    <comment ref="N20" authorId="0" shapeId="0" xr:uid="{00000000-0006-0000-0200-0000A8000000}">
      <text>
        <r>
          <rPr>
            <sz val="8"/>
            <color indexed="81"/>
            <rFont val="Tahoma"/>
            <family val="2"/>
          </rPr>
          <t xml:space="preserve">No specific figure for adult shower use in education buildings, therefore the figure is the same as that used for showers in offices (using the same assumptions).
</t>
        </r>
      </text>
    </comment>
    <comment ref="O20" authorId="0" shapeId="0" xr:uid="{00000000-0006-0000-0200-0000A9000000}">
      <text>
        <r>
          <rPr>
            <sz val="8"/>
            <color indexed="81"/>
            <rFont val="Tahoma"/>
            <family val="2"/>
          </rPr>
          <t>No bath use assumed in this building type.</t>
        </r>
      </text>
    </comment>
    <comment ref="P20" authorId="0" shapeId="0" xr:uid="{00000000-0006-0000-0200-0000AA000000}">
      <text>
        <r>
          <rPr>
            <sz val="8"/>
            <color indexed="81"/>
            <rFont val="Tahoma"/>
            <family val="2"/>
          </rPr>
          <t>No bath use assumed in this building type.</t>
        </r>
      </text>
    </comment>
    <comment ref="Q20" authorId="0" shapeId="0" xr:uid="{00000000-0006-0000-0200-0000AB000000}">
      <text>
        <r>
          <rPr>
            <sz val="8"/>
            <color indexed="81"/>
            <rFont val="Tahoma"/>
            <family val="2"/>
          </rPr>
          <t>No bath use assumed in this building type.</t>
        </r>
      </text>
    </comment>
    <comment ref="R20" authorId="0" shapeId="0" xr:uid="{00000000-0006-0000-0200-0000AC000000}">
      <text>
        <r>
          <rPr>
            <sz val="8"/>
            <color indexed="81"/>
            <rFont val="Tahoma"/>
            <family val="2"/>
          </rPr>
          <t>As per offices, 1 component use per day for staff is used. Source: Communities and Local Government Research to Assess the Costs and Benefits of Improvements to the Water Efficiency of New Non-household Buildings (Entec Oct 2009).
This figure is adjusted to account for the student:teacher ratio in Higher Education of 16.3 (source: http://www.ucu.org.uk/index.cfm?articleid=4624). as follows:
1/16.3 = 0.0613 i.e. 6.1%
1 uses/day * 0.061 = 0.061</t>
        </r>
      </text>
    </comment>
    <comment ref="X20" authorId="0" shapeId="0" xr:uid="{00000000-0006-0000-0200-0000AD000000}">
      <text>
        <r>
          <rPr>
            <sz val="8"/>
            <color indexed="81"/>
            <rFont val="Tahoma"/>
            <family val="2"/>
          </rPr>
          <t xml:space="preserve">As per offices for adults i.e. teachers, staff and students.
</t>
        </r>
      </text>
    </comment>
    <comment ref="AC20" authorId="0" shapeId="0" xr:uid="{00000000-0006-0000-0200-0000AE000000}">
      <text>
        <r>
          <rPr>
            <b/>
            <sz val="8"/>
            <color indexed="81"/>
            <rFont val="Tahoma"/>
            <family val="2"/>
          </rPr>
          <t>Source:</t>
        </r>
        <r>
          <rPr>
            <sz val="8"/>
            <color indexed="81"/>
            <rFont val="Tahoma"/>
            <family val="2"/>
          </rPr>
          <t xml:space="preserve"> Communities and Local Government Research to Assess the Costs and Benefits of Improvements to the Water Efficiency of New Non-household Buildings (BD2683)
Equivalent to 15 seconds.</t>
        </r>
        <r>
          <rPr>
            <b/>
            <sz val="8"/>
            <color indexed="81"/>
            <rFont val="Tahoma"/>
            <family val="2"/>
          </rPr>
          <t xml:space="preserve">
</t>
        </r>
        <r>
          <rPr>
            <sz val="8"/>
            <color indexed="81"/>
            <rFont val="Tahoma"/>
            <family val="2"/>
          </rPr>
          <t xml:space="preserve">
</t>
        </r>
      </text>
    </comment>
    <comment ref="AD20" authorId="0" shapeId="0" xr:uid="{00000000-0006-0000-0200-0000AF000000}">
      <text>
        <r>
          <rPr>
            <sz val="8"/>
            <color indexed="81"/>
            <rFont val="Tahoma"/>
            <family val="2"/>
          </rPr>
          <t>Source: as per office.</t>
        </r>
      </text>
    </comment>
    <comment ref="AQ20" authorId="0" shapeId="0" xr:uid="{00000000-0006-0000-0200-0000B0000000}">
      <text>
        <r>
          <rPr>
            <b/>
            <sz val="8"/>
            <color indexed="81"/>
            <rFont val="Tahoma"/>
            <family val="2"/>
          </rPr>
          <t xml:space="preserve">MTP BNWat07 "Baths": </t>
        </r>
        <r>
          <rPr>
            <sz val="8"/>
            <color indexed="81"/>
            <rFont val="Tahoma"/>
            <family val="2"/>
          </rPr>
          <t>The average volume of water used per bath is approximately 40 % of the maximum volume of the bath as defined by the overflow point.
This reflects that a) people don't fill bath to the overflow and b) the Archimedes' principle of buoyancy i.e. average human will displace 70 litres of water.</t>
        </r>
        <r>
          <rPr>
            <sz val="8"/>
            <color indexed="81"/>
            <rFont val="Tahoma"/>
            <family val="2"/>
          </rPr>
          <t xml:space="preserve">
</t>
        </r>
      </text>
    </comment>
    <comment ref="AR20" authorId="0" shapeId="0" xr:uid="{00000000-0006-0000-0200-0000B1000000}">
      <text>
        <r>
          <rPr>
            <sz val="8"/>
            <color indexed="81"/>
            <rFont val="Tahoma"/>
            <family val="2"/>
          </rPr>
          <t>Two-thirds to account for the fact that taps will not to be run at full volume.</t>
        </r>
        <r>
          <rPr>
            <sz val="8"/>
            <color indexed="81"/>
            <rFont val="Tahoma"/>
            <family val="2"/>
          </rPr>
          <t xml:space="preserve">
</t>
        </r>
      </text>
    </comment>
    <comment ref="AT20" authorId="0" shapeId="0" xr:uid="{00000000-0006-0000-0200-0000B2000000}">
      <text>
        <r>
          <rPr>
            <b/>
            <sz val="8"/>
            <color indexed="81"/>
            <rFont val="Tahoma"/>
            <family val="2"/>
          </rPr>
          <t xml:space="preserve">Source: </t>
        </r>
        <r>
          <rPr>
            <sz val="8"/>
            <color indexed="81"/>
            <rFont val="Tahoma"/>
            <family val="2"/>
          </rPr>
          <t xml:space="preserve">CLG research to Assess Costs and Benefits of Improvement to the Water Efficiency of New Non-Household Buildings states the following for dishwasher use in restaurants.
Baseline: 13.84 litres/kg
Basic: 10 l/kg
Intermediate: 7.5 l/kg
Advanced: 4.5 l/kg
The Enhanced Captial Allowance Water Technology list criteia for water efficient commercial washing machines is as follows:
1) The machine must also not exceed a maximum water consumption of 12 l/kg wash load.
At the time of writing there are no products listed (Dec 2011).
For industrial machines ECA sets different requirements, depending on the type: max 8l/kg for continuos batch washers and 15 l/kg for washer extractors
BREEAM levels have been set in accordance with the above benchmark info. Using 14 litres/kg as a baseline, 12/lkg as level 1 and 4.5 as level 5.
</t>
        </r>
      </text>
    </comment>
    <comment ref="AV20" authorId="0" shapeId="0" xr:uid="{00000000-0006-0000-0200-0000B3000000}">
      <text>
        <r>
          <rPr>
            <sz val="8"/>
            <color indexed="81"/>
            <rFont val="Tahoma"/>
            <family val="2"/>
          </rPr>
          <t xml:space="preserve">The Enhanced Captial Allowance Water Technology Product list criteia for water efficient commercial washing machines.
</t>
        </r>
      </text>
    </comment>
    <comment ref="C21" authorId="0" shapeId="0" xr:uid="{00000000-0006-0000-0200-0000B4000000}">
      <text>
        <r>
          <rPr>
            <sz val="8"/>
            <color indexed="81"/>
            <rFont val="Tahoma"/>
            <family val="2"/>
          </rPr>
          <t>Primary schools: Occupant density based on max 30 pupils per 60m2 of classroom area (source: BB99 Building Framework for primary schools). Therefore, density per m2 is 1/(60/30) = 0.50.
According to the National Statistics, DfE: School Workforce in England, November 2010 (statistical first release) the pupil teacher ratio for local authority maintained primary schools is 20.9. Therefore, a default of 1.44 teachers per 60m2 of classroom area is used. This adds another 0.024 person/m2 to the occupant density and gives a final figure for primary schools of 0.524.
Secondary schools: the average classroom size is comparable to primary school (BB98 appendices) and is deemed appropriate to use for secondary schools for this exercise.The pupil teacher ratio for local authority maintained secondary schools is 15.6. Therefore, following the rationale above for primary schools, the occupant density figure for  is; 0.50 + 0.0321 = 0.532.
Sixth form, FE and HE colleges:  Occupant density based on max 16 students for seminar room size of 43m2 (source: BB99 Appendix 2, seminar rooms in sixth form). This is assumed comparable for FE/HE for this type of space). 
According to the University and College Union student:teacher ratio in Further Education in 2008/2009 was 19.9 and Higher education for the same year was 16.3 (source: http://www.ucu.org.uk/index.cfm?articleid=4624). Therefore a default of 0.80 teachers per 43m2 of seminar room and 0.019 teachers/m2 for FE. Likewise, the figure is 0.023 for HE.
Therefore the occupant density for seminar rooms in FE is 1/(43/16)= 0.372 + 0.019 = 0.391 people/m2. 
For HE, 1/(43/16)= 0.372 + 0.023 = 0.395 people/m2.</t>
        </r>
      </text>
    </comment>
    <comment ref="C22" authorId="0" shapeId="0" xr:uid="{00000000-0006-0000-0200-0000B5000000}">
      <text>
        <r>
          <rPr>
            <sz val="8"/>
            <color indexed="81"/>
            <rFont val="Tahoma"/>
            <family val="2"/>
          </rPr>
          <t>Source: NCM activity database (11/08/10)</t>
        </r>
      </text>
    </comment>
    <comment ref="U22" authorId="0" shapeId="0" xr:uid="{00000000-0006-0000-0200-0000B6000000}">
      <text>
        <r>
          <rPr>
            <sz val="8"/>
            <color indexed="81"/>
            <rFont val="Tahoma"/>
            <family val="2"/>
          </rPr>
          <t>One cycle accommodates 25 people i.e. 1/25=0.04 uses/person/day. 
Source: Communities and Local Government Research to Assess the Costs and Benefits of Improvements to the Water Efficiency of New Non-household Buildings (Entec Oct 2009).
As the dishwasher is in the staff areas only and therefore used only by the staff, the figure of 0.04 is adjusted by the pupil-teacher ratio for schools/FE and HE as follows:
Primary school: 1/20.9 = 0.048
0.04 * 0.048= 0.0019
Secondary school: 1/15.6 = 0.064
0.04 * 0.064 = 0.0026
Sixth form/FE: 1/19.9 = 0.0505
0.04 * 0.0505 = 0.0020
Higher Education: 1/16.3 = 0.0613
0.04 * 0.0613 = 0.0025
Source of pupil-teacher ratio: National Statistics, DfE: School Workforce in England, November 2010 (statistical first release) and University and Colleges Union for FE/HE http://www.ucu.org.uk/index.cfm?articleid=4624).</t>
        </r>
      </text>
    </comment>
    <comment ref="AH22" authorId="0" shapeId="0" xr:uid="{00000000-0006-0000-0200-0000B7000000}">
      <text>
        <r>
          <rPr>
            <sz val="8"/>
            <color indexed="81"/>
            <rFont val="Tahoma"/>
            <family val="2"/>
          </rPr>
          <t>Communities and Local Government Research to Assess the Costs and Benefits of Improvements to the Water Efficiency of New Non-household Buildings (BD2683) states a factor of 0.67 for offices in its example calculation.</t>
        </r>
      </text>
    </comment>
    <comment ref="C23" authorId="0" shapeId="0" xr:uid="{00000000-0006-0000-0200-0000B8000000}">
      <text>
        <r>
          <rPr>
            <sz val="8"/>
            <color indexed="81"/>
            <rFont val="Tahoma"/>
            <family val="2"/>
          </rPr>
          <t>Source: NCM activity database, figure for residents common room used.</t>
        </r>
      </text>
    </comment>
    <comment ref="C24" authorId="0" shapeId="0" xr:uid="{00000000-0006-0000-0200-0000B9000000}">
      <text>
        <r>
          <rPr>
            <sz val="8"/>
            <color indexed="81"/>
            <rFont val="Tahoma"/>
            <family val="2"/>
          </rPr>
          <t>An average restaurant has been modelled as having 25 employees serving 250 covers per day (Pacific Institute, 2003). Therefore, the number of kitchen staff is set at a default of 0.1 per cover for any building type with a restaurant. However, whilst there is no specific data for school canteens, this figure is consider too high for a school, whose kitchen staff per cover is not considered comparable to a restaurant. Therefore, in-lieu of specific data, for the purpose of this methodology it has been assumed that the rate will be one quarter that of a restaurant i.e. 6.25 employees per 250 covers or 0.025 staff per cover.
The number of covers is then determined as follows:
Schools: using a ratio of 0.90m2 per cover and three sittings per day for schools with 300 pupils or more and 2 sittings for schools with less than 300 pupils, the number of covers is estimated. (source of data: BB98 Briefing framework for secondary schools projects, pg. 43 and appendix 1). The number of covers are then multiplied by the figure 0.025 (from above) to give the default number of kitchen staff. This calculation is carried out within the education calculator (hence why no figure in this activity database for this function when primary school building type is selected).
FE/HE colleges: An overall occupant density for seated dining areas of 0.20 persons/m2 is used (source: National Energy Calculation Methodology activity database) to determine the number of people seated in the restaurant. A period of 11am-3pm is used as a default hours of use by the building's staff, whereby occupant density fluctuates respectively during those hours as follows: 0.25, 1.0, 1.0, 0.75 (source NCM activity database); resulting in an average occupant density of  0.15 covers/hr/m2.
This average multiplied by the 4 hour period gives a figure of 0.60 covers/m2. If there are 12.5 kitchen employees per 250 covers, then there are 0.05 employees/cover; therefore there are 0.03 kitchen employees/m2 of seated dining area.</t>
        </r>
      </text>
    </comment>
    <comment ref="V24" authorId="0" shapeId="0" xr:uid="{00000000-0006-0000-0200-0000BA000000}">
      <text>
        <r>
          <rPr>
            <sz val="8"/>
            <color indexed="81"/>
            <rFont val="Tahoma"/>
            <family val="2"/>
          </rPr>
          <t>It could be argued that there is likley to be a washing machine where there is a food preparation area, however, no data available for this component in this activity area. It is possible that it could be accounted for under the miscellaneous under food preparation (which is a fixed use).</t>
        </r>
      </text>
    </comment>
    <comment ref="Y24" authorId="0" shapeId="0" xr:uid="{00000000-0006-0000-0200-0000BB000000}">
      <text>
        <r>
          <rPr>
            <sz val="8"/>
            <color indexed="81"/>
            <rFont val="Tahoma"/>
            <family val="2"/>
          </rPr>
          <t>Units: litres/day
Fixed use for food preparation is based on a ‘standard’ restaurant. This ‘standard’ model gives details relating to a hotel with 25 staff serving 250 covers or meals per day, (source: BD2683 and sources contained therein), as follows:
0.33 kg of ice per meal
Food preparation sink: 113.4 litres (per day) / 250 covers = 0.4536 litres/cover
Food: 1.89 litres/cover
Total: 2.674 litres/cover
Schools: using a ratio of 0.90m2 per cover and three sittings per day for schools with over 300 pupils and 2 sittings for schools with less than 300 pupils, the number of covers is estimated and therefore the fixed use/meal using the above figures.
FE/HE colleges: The above litres/cover figure is multiplied by 0.60 covers/m2 (see comment against occupant density for this building area for source of number) and the dining area to obtain fixed use for this building type.
Where no such activity area is present, a figure will not register in this cell, hence the comment "see note" as oppose to a figure of zero occuring.
If there is no dining area, no figure is calculated.</t>
        </r>
      </text>
    </comment>
    <comment ref="Z24" authorId="0" shapeId="0" xr:uid="{00000000-0006-0000-0200-0000BC000000}">
      <text>
        <r>
          <rPr>
            <sz val="8"/>
            <color indexed="81"/>
            <rFont val="Arial"/>
            <family val="2"/>
          </rPr>
          <t>Units: litres/day
Fixed use for cleaning in a food preparation area is based on a ‘standard’ restaurant. This ‘standard’ model gives details relating to a hotel with 25 staff serving 250 covers or meals per day (Source: BD2683), as follows:
Pot and pan sink: 900 litres (3 x sinks filled with 150 litre capacity filled twice a day) / 250 covers = 3.6 litres/cover
Cleaning: 298.4 / 250 covers = 1.1936 litres/cover
Miscellaneous use: 378/250 = 1.52 litres/cover
Total: 6.314 litres/cover
Schools: using a ratio of 0.90m2 per cover and three sittings per day for schools with 300 pupils or more and 2 sittings for schools with less than 300 pupils, the number of covers is estimated. (source of data: BB98 Briefing framework for secondary schools projects, pg. 43 and appendix 1). The 
FE/HE colleges: The above figure is multiplied by 0.60 covers/m2 (see comment against occupant density for this building area for source of number).
This litres/cover figure is then multiplied by the calculated figure covers/m2 and the total area (m2) of the dining area to give the fixed use total here.
If there is no dining area, no figure is calculated.</t>
        </r>
      </text>
    </comment>
    <comment ref="AI24" authorId="0" shapeId="0" xr:uid="{00000000-0006-0000-0200-0000BD000000}">
      <text>
        <r>
          <rPr>
            <b/>
            <sz val="8"/>
            <color indexed="81"/>
            <rFont val="Tahoma"/>
            <family val="2"/>
          </rPr>
          <t xml:space="preserve">Source: </t>
        </r>
        <r>
          <rPr>
            <sz val="8"/>
            <color indexed="81"/>
            <rFont val="Tahoma"/>
            <family val="2"/>
          </rPr>
          <t>washing up pre-rinse nozzles are used for 60 min per day (Pacific Institute, 2003; MWRA,1990)</t>
        </r>
        <r>
          <rPr>
            <sz val="8"/>
            <color indexed="81"/>
            <rFont val="Tahoma"/>
            <family val="2"/>
          </rPr>
          <t xml:space="preserve">
</t>
        </r>
      </text>
    </comment>
    <comment ref="AK24" authorId="0" shapeId="0" xr:uid="{00000000-0006-0000-0200-0000BE000000}">
      <text>
        <r>
          <rPr>
            <sz val="8"/>
            <color indexed="81"/>
            <rFont val="Tahoma"/>
            <family val="2"/>
          </rPr>
          <t xml:space="preserve">units: dishwasher cycles/m2
Communities and Local Government Research to Assess the Costs and Benefits of Improvements to the Water Efficiency of New Non-household Buildings (Entec Oct 2009) states each customer produces half a dishwasher rack of washing up per visit. This is for standard restaurant use. For a school canteen, this has been halved again to one quarter rack per cover on the basis that only one (possibly two) courses served at lunchtime, and generally less crockery used than for standard restaurant (where two or three courses are to be assumed).
Schools: using a ratio of 0.90m2 per cover and three sittings per day for schools with 300 pupils or more (therefore 2.7 covers/m2 of dining area) and 2 sittings for schools with less than 300 pupils (therefore 1.80 covers/m2 of dining area),  (source of data: BB98 Briefing framework for secondary schools projects, pg. 43 and appendix 1), therefore:
2.7 covers/m2 * 0.25 racks/cover = 0.675 cycles/m2 (300+ pupils and three sittings)
1.80 covers/m2 * 0.25 racks/cover = 0.45 cycles/m2 (less than 300 pupils and two sittings)
FE/HE colleges: No specific data. The same approach/default as that adopted for office building's has been applied to FE/HE colleges as the users/use of canteen/restaurant are deemed equivalent to that of offices in-lieu of FE/HE specific data. i.e. 0.2480 cycles/m2
</t>
        </r>
      </text>
    </comment>
    <comment ref="AM24" authorId="0" shapeId="0" xr:uid="{00000000-0006-0000-0200-0000BF000000}">
      <text>
        <r>
          <rPr>
            <b/>
            <sz val="8"/>
            <color indexed="81"/>
            <rFont val="Tahoma"/>
            <family val="2"/>
          </rPr>
          <t>Source:</t>
        </r>
        <r>
          <rPr>
            <sz val="8"/>
            <color indexed="81"/>
            <rFont val="Tahoma"/>
            <family val="2"/>
          </rPr>
          <t xml:space="preserve"> waste disposal devices run for 30 min per day (Pacific Institute, 2003; MWRA,1990)</t>
        </r>
        <r>
          <rPr>
            <sz val="8"/>
            <color indexed="81"/>
            <rFont val="Tahoma"/>
            <family val="2"/>
          </rPr>
          <t xml:space="preserve">
</t>
        </r>
      </text>
    </comment>
    <comment ref="C25" authorId="0" shapeId="0" xr:uid="{00000000-0006-0000-0200-0000C0000000}">
      <text>
        <r>
          <rPr>
            <sz val="8"/>
            <color indexed="81"/>
            <rFont val="Tahoma"/>
            <family val="2"/>
          </rPr>
          <t>For the purpose of this methodology zero has been used as the users of this facility will be the staff/pupils/students, whose number is determined based on the density of other activity areas, so to acount for occupancy against this activity area would double count the number of building users.</t>
        </r>
      </text>
    </comment>
    <comment ref="X25" authorId="0" shapeId="0" xr:uid="{00000000-0006-0000-0200-0000C1000000}">
      <text>
        <r>
          <rPr>
            <sz val="8"/>
            <color indexed="81"/>
            <rFont val="Tahoma"/>
            <family val="2"/>
          </rPr>
          <t>CLG Research to Assess the Costs and Benefits of Improvements to the Water Efficiency of New Non-household Buildings states in its approach to drafting standard for leisure centres that each visitor uses 0.3 litre of water from a fountain or tap, for drinking (based on an average 1 hour visit).
Where present in schools 2 visits per week is assumed (see shower use for schools), therefore the fix use per week is 0.6 litres/pupil, 0.6/5 days = 0.12 litres/person/day.
Where present in sixth form, FE/HE colleges the same usage is used as that for offices with this building function i.e. 0.05.</t>
        </r>
      </text>
    </comment>
    <comment ref="C26" authorId="0" shapeId="0" xr:uid="{00000000-0006-0000-0200-0000C2000000}">
      <text>
        <r>
          <rPr>
            <sz val="8"/>
            <color indexed="81"/>
            <rFont val="Tahoma"/>
            <family val="2"/>
          </rPr>
          <t>Source: NCM activity database (11/08/10)</t>
        </r>
      </text>
    </comment>
    <comment ref="C27" authorId="0" shapeId="0" xr:uid="{00000000-0006-0000-0200-0000C3000000}">
      <text>
        <r>
          <rPr>
            <sz val="8"/>
            <color indexed="81"/>
            <rFont val="Tahoma"/>
            <family val="2"/>
          </rPr>
          <t>BB98 Briefing framework for secondary schools (appendix 2) states 80m2 for 50 students for sixth form write-up areas. This figure has been used for sixth form, and FE/HE colleges for an occupant density of 0.625 persons/m2 for this type of space.
No equivalent space in NCM database.</t>
        </r>
      </text>
    </comment>
    <comment ref="C28" authorId="0" shapeId="0" xr:uid="{00000000-0006-0000-0200-0000C4000000}">
      <text>
        <r>
          <rPr>
            <sz val="8"/>
            <color indexed="81"/>
            <rFont val="Tahoma"/>
            <family val="2"/>
          </rPr>
          <t>Source: NCM activity database (11/08/10)</t>
        </r>
      </text>
    </comment>
    <comment ref="C29" authorId="0" shapeId="0" xr:uid="{00000000-0006-0000-0200-0000C5000000}">
      <text>
        <r>
          <rPr>
            <sz val="8"/>
            <color indexed="81"/>
            <rFont val="Tahoma"/>
            <family val="2"/>
          </rPr>
          <t>Source: NCM activity database (11/08/10) for university and colleges.</t>
        </r>
      </text>
    </comment>
    <comment ref="C30" authorId="0" shapeId="0" xr:uid="{00000000-0006-0000-0200-0000C6000000}">
      <text>
        <r>
          <rPr>
            <sz val="8"/>
            <color indexed="81"/>
            <rFont val="Tahoma"/>
            <family val="2"/>
          </rPr>
          <t>Source: NCM activity database (11/08/10) for university and colleges.</t>
        </r>
      </text>
    </comment>
    <comment ref="D31" authorId="0" shapeId="0" xr:uid="{00000000-0006-0000-0200-0000C7000000}">
      <text>
        <r>
          <rPr>
            <sz val="8"/>
            <color indexed="81"/>
            <rFont val="Tahoma"/>
            <family val="2"/>
          </rPr>
          <t>Determined on the basis of 7 days a week opening 52 weeks a year, minus 4 days for Christmas, boxing and easter holidays. Sunday opening is assumed.</t>
        </r>
      </text>
    </comment>
    <comment ref="E31" authorId="0" shapeId="0" xr:uid="{00000000-0006-0000-0200-0000C8000000}">
      <text>
        <r>
          <rPr>
            <sz val="8"/>
            <color indexed="81"/>
            <rFont val="Tahoma"/>
            <family val="2"/>
          </rPr>
          <t>Based on average for a seven day week: Mon-Sat 9am-6pm
Sunday: 10.00am - 16.30pm. Average hrs 8.64 (rounded to 8.5).</t>
        </r>
      </text>
    </comment>
    <comment ref="G31" authorId="0" shapeId="0" xr:uid="{00000000-0006-0000-0200-0000C9000000}">
      <text>
        <r>
          <rPr>
            <sz val="8"/>
            <color indexed="81"/>
            <rFont val="Tahoma"/>
            <family val="2"/>
          </rPr>
          <t>This overall ratio is determined using the two separate ratios for staff and customers (below) and the ratio between staff/customers (calculated in the retail calculator).</t>
        </r>
      </text>
    </comment>
    <comment ref="H31" authorId="0" shapeId="0" xr:uid="{00000000-0006-0000-0200-0000CA000000}">
      <text>
        <r>
          <rPr>
            <sz val="8"/>
            <color indexed="81"/>
            <rFont val="Tahoma"/>
            <family val="2"/>
          </rPr>
          <t>This overall ratio is determined using the two separate ratios for staff and customers (below) and the ratio between staff/customers (calculated in the retail calculator).</t>
        </r>
      </text>
    </comment>
    <comment ref="I31" authorId="0" shapeId="0" xr:uid="{00000000-0006-0000-0200-0000CB000000}">
      <text>
        <r>
          <rPr>
            <sz val="8"/>
            <color indexed="81"/>
            <rFont val="Tahoma"/>
            <family val="2"/>
          </rPr>
          <t>This overall usage factor is determined using the two separate factors for staff and customers (below) and the ratio between staff/customers (calculated in the retail calculator).</t>
        </r>
      </text>
    </comment>
    <comment ref="J31" authorId="0" shapeId="0" xr:uid="{00000000-0006-0000-0200-0000CC000000}">
      <text>
        <r>
          <rPr>
            <sz val="8"/>
            <color indexed="81"/>
            <rFont val="Tahoma"/>
            <family val="2"/>
          </rPr>
          <t>This overall usage factor is determined using the two separate factors for staff and customers (below) and the ratio between staff/customers (calculated in the retail calculator).</t>
        </r>
      </text>
    </comment>
    <comment ref="K31" authorId="0" shapeId="0" xr:uid="{00000000-0006-0000-0200-0000CD000000}">
      <text>
        <r>
          <rPr>
            <sz val="8"/>
            <color indexed="81"/>
            <rFont val="Tahoma"/>
            <family val="2"/>
          </rPr>
          <t>This overall usage factor is determined using the two separate factors for staff and customers (below) and the ratio between staff/customers (calculated in the retail calculator).</t>
        </r>
      </text>
    </comment>
    <comment ref="L31" authorId="0" shapeId="0" xr:uid="{00000000-0006-0000-0200-0000CE000000}">
      <text>
        <r>
          <rPr>
            <sz val="8"/>
            <color indexed="81"/>
            <rFont val="Tahoma"/>
            <family val="2"/>
          </rPr>
          <t>This overall usage factor is determined using the two separate factors for staff and customers (below) and the ratio between staff/customers (calculated in the retail calculator).</t>
        </r>
      </text>
    </comment>
    <comment ref="M31" authorId="0" shapeId="0" xr:uid="{00000000-0006-0000-0200-0000CF000000}">
      <text>
        <r>
          <rPr>
            <sz val="8"/>
            <color indexed="81"/>
            <rFont val="Tahoma"/>
            <family val="2"/>
          </rPr>
          <t>This overall usage factor is determined using the two separate factors for staff and customers (below) and the ratio between staff/customers (calculated in the retail calculator).</t>
        </r>
      </text>
    </comment>
    <comment ref="O31" authorId="0" shapeId="0" xr:uid="{00000000-0006-0000-0200-0000D0000000}">
      <text>
        <r>
          <rPr>
            <sz val="8"/>
            <color indexed="81"/>
            <rFont val="Tahoma"/>
            <family val="2"/>
          </rPr>
          <t>No bath use assumed in this building type.</t>
        </r>
      </text>
    </comment>
    <comment ref="P31" authorId="0" shapeId="0" xr:uid="{00000000-0006-0000-0200-0000D1000000}">
      <text>
        <r>
          <rPr>
            <sz val="8"/>
            <color indexed="81"/>
            <rFont val="Tahoma"/>
            <family val="2"/>
          </rPr>
          <t>No bath use assumed in this building type.</t>
        </r>
      </text>
    </comment>
    <comment ref="Q31" authorId="0" shapeId="0" xr:uid="{00000000-0006-0000-0200-0000D2000000}">
      <text>
        <r>
          <rPr>
            <sz val="8"/>
            <color indexed="81"/>
            <rFont val="Tahoma"/>
            <family val="2"/>
          </rPr>
          <t>No bath use assumed in this building type.</t>
        </r>
      </text>
    </comment>
    <comment ref="AC31" authorId="0" shapeId="0" xr:uid="{00000000-0006-0000-0200-0000D3000000}">
      <text>
        <r>
          <rPr>
            <b/>
            <sz val="8"/>
            <color indexed="81"/>
            <rFont val="Tahoma"/>
            <family val="2"/>
          </rPr>
          <t>Source:</t>
        </r>
        <r>
          <rPr>
            <sz val="8"/>
            <color indexed="81"/>
            <rFont val="Tahoma"/>
            <family val="2"/>
          </rPr>
          <t xml:space="preserve"> Communities and Local Government Research to Assess the Costs and Benefits of Improvements to the Water Efficiency of New Non-household Buildings (BD2683)
Equivalent to 15 seconds.</t>
        </r>
        <r>
          <rPr>
            <b/>
            <sz val="8"/>
            <color indexed="81"/>
            <rFont val="Tahoma"/>
            <family val="2"/>
          </rPr>
          <t xml:space="preserve">
</t>
        </r>
        <r>
          <rPr>
            <sz val="8"/>
            <color indexed="81"/>
            <rFont val="Tahoma"/>
            <family val="2"/>
          </rPr>
          <t xml:space="preserve">
</t>
        </r>
      </text>
    </comment>
    <comment ref="AD31" authorId="0" shapeId="0" xr:uid="{00000000-0006-0000-0200-0000D4000000}">
      <text>
        <r>
          <rPr>
            <sz val="8"/>
            <color indexed="81"/>
            <rFont val="Tahoma"/>
            <family val="2"/>
          </rPr>
          <t>Source: CLG domestic water efficiency calc, also used in BS8525 COP for greywater systems.</t>
        </r>
      </text>
    </comment>
    <comment ref="AE31" authorId="0" shapeId="0" xr:uid="{00000000-0006-0000-0200-0000D5000000}">
      <text>
        <r>
          <rPr>
            <sz val="8"/>
            <color indexed="81"/>
            <rFont val="Tahoma"/>
            <family val="2"/>
          </rPr>
          <t>Source: CLG domestic water efficiency calc, also used in BS8525 COP for greywater systems</t>
        </r>
      </text>
    </comment>
    <comment ref="AQ31" authorId="0" shapeId="0" xr:uid="{00000000-0006-0000-0200-0000D6000000}">
      <text>
        <r>
          <rPr>
            <b/>
            <sz val="8"/>
            <color indexed="81"/>
            <rFont val="Tahoma"/>
            <family val="2"/>
          </rPr>
          <t xml:space="preserve">MTP BNWat07 "Baths": </t>
        </r>
        <r>
          <rPr>
            <sz val="8"/>
            <color indexed="81"/>
            <rFont val="Tahoma"/>
            <family val="2"/>
          </rPr>
          <t>The average volume of water used per bath is approximately 40 % of the maximum volume of the bath as defined by the overflow point.
This reflects that a) people don't fill bath to the overflow and b) the Archimedes' principle of buoyancy i.e. average human will displace 70 litres of water.</t>
        </r>
        <r>
          <rPr>
            <sz val="8"/>
            <color indexed="81"/>
            <rFont val="Tahoma"/>
            <family val="2"/>
          </rPr>
          <t xml:space="preserve">
</t>
        </r>
      </text>
    </comment>
    <comment ref="AR31" authorId="0" shapeId="0" xr:uid="{00000000-0006-0000-0200-0000D7000000}">
      <text>
        <r>
          <rPr>
            <sz val="8"/>
            <color indexed="81"/>
            <rFont val="Tahoma"/>
            <family val="2"/>
          </rPr>
          <t>Two-thirds to account for the fact that taps will not to be run at full volume.</t>
        </r>
        <r>
          <rPr>
            <sz val="8"/>
            <color indexed="81"/>
            <rFont val="Tahoma"/>
            <family val="2"/>
          </rPr>
          <t xml:space="preserve">
</t>
        </r>
      </text>
    </comment>
    <comment ref="G32" authorId="0" shapeId="0" xr:uid="{00000000-0006-0000-0200-0000D8000000}">
      <text>
        <r>
          <rPr>
            <sz val="8"/>
            <color indexed="81"/>
            <rFont val="Tahoma"/>
            <family val="2"/>
          </rPr>
          <t>Standard ratio for employees.</t>
        </r>
      </text>
    </comment>
    <comment ref="H32" authorId="0" shapeId="0" xr:uid="{00000000-0006-0000-0200-0000D9000000}">
      <text>
        <r>
          <rPr>
            <sz val="8"/>
            <color indexed="81"/>
            <rFont val="Tahoma"/>
            <family val="2"/>
          </rPr>
          <t>Standard ratio for employees.</t>
        </r>
      </text>
    </comment>
    <comment ref="I32" authorId="0" shapeId="0" xr:uid="{00000000-0006-0000-0200-0000DA000000}">
      <text>
        <r>
          <rPr>
            <sz val="8"/>
            <color indexed="81"/>
            <rFont val="Tahoma"/>
            <family val="2"/>
          </rPr>
          <t xml:space="preserve">Source: BNWAT22
</t>
        </r>
      </text>
    </comment>
    <comment ref="J32" authorId="0" shapeId="0" xr:uid="{00000000-0006-0000-0200-0000DB000000}">
      <text>
        <r>
          <rPr>
            <sz val="8"/>
            <color indexed="81"/>
            <rFont val="Tahoma"/>
            <family val="2"/>
          </rPr>
          <t xml:space="preserve">Source: BNWAT22
</t>
        </r>
      </text>
    </comment>
    <comment ref="K32" authorId="0" shapeId="0" xr:uid="{00000000-0006-0000-0200-0000DC000000}">
      <text>
        <r>
          <rPr>
            <sz val="8"/>
            <color indexed="81"/>
            <rFont val="Tahoma"/>
            <family val="2"/>
          </rPr>
          <t xml:space="preserve">Source: BNWAT22
</t>
        </r>
      </text>
    </comment>
    <comment ref="L32" authorId="0" shapeId="0" xr:uid="{00000000-0006-0000-0200-0000DD000000}">
      <text>
        <r>
          <rPr>
            <sz val="8"/>
            <color indexed="81"/>
            <rFont val="Tahoma"/>
            <family val="2"/>
          </rPr>
          <t xml:space="preserve">Source: BNWAT22
</t>
        </r>
      </text>
    </comment>
    <comment ref="M32" authorId="0" shapeId="0" xr:uid="{00000000-0006-0000-0200-0000DE000000}">
      <text>
        <r>
          <rPr>
            <sz val="8"/>
            <color indexed="81"/>
            <rFont val="Tahoma"/>
            <family val="2"/>
          </rPr>
          <t>Assumes WHB tap usage for each WC visit.</t>
        </r>
      </text>
    </comment>
    <comment ref="N32" authorId="0" shapeId="0" xr:uid="{00000000-0006-0000-0200-0000DF000000}">
      <text>
        <r>
          <rPr>
            <sz val="8"/>
            <color indexed="81"/>
            <rFont val="Tahoma"/>
            <family val="2"/>
          </rPr>
          <t>As per shower use assumptions/data used for offices.</t>
        </r>
      </text>
    </comment>
    <comment ref="O32" authorId="0" shapeId="0" xr:uid="{00000000-0006-0000-0200-0000E0000000}">
      <text>
        <r>
          <rPr>
            <sz val="8"/>
            <color indexed="81"/>
            <rFont val="Tahoma"/>
            <family val="2"/>
          </rPr>
          <t>No bath use assumed in this building type.</t>
        </r>
      </text>
    </comment>
    <comment ref="P32" authorId="0" shapeId="0" xr:uid="{00000000-0006-0000-0200-0000E1000000}">
      <text>
        <r>
          <rPr>
            <sz val="8"/>
            <color indexed="81"/>
            <rFont val="Tahoma"/>
            <family val="2"/>
          </rPr>
          <t>No bath use assumed in this building type.</t>
        </r>
      </text>
    </comment>
    <comment ref="Q32" authorId="0" shapeId="0" xr:uid="{00000000-0006-0000-0200-0000E2000000}">
      <text>
        <r>
          <rPr>
            <sz val="8"/>
            <color indexed="81"/>
            <rFont val="Tahoma"/>
            <family val="2"/>
          </rPr>
          <t>No bath use assumed in this building type.</t>
        </r>
      </text>
    </comment>
    <comment ref="G33" authorId="0" shapeId="0" xr:uid="{00000000-0006-0000-0200-0000E3000000}">
      <text>
        <r>
          <rPr>
            <sz val="8"/>
            <color indexed="81"/>
            <rFont val="Tahoma"/>
            <family val="2"/>
          </rPr>
          <t>Source: BS 6465.</t>
        </r>
      </text>
    </comment>
    <comment ref="H33" authorId="0" shapeId="0" xr:uid="{00000000-0006-0000-0200-0000E4000000}">
      <text>
        <r>
          <rPr>
            <sz val="8"/>
            <color indexed="81"/>
            <rFont val="Tahoma"/>
            <family val="2"/>
          </rPr>
          <t>Source: BS 6465.</t>
        </r>
      </text>
    </comment>
    <comment ref="I33" authorId="0" shapeId="0" xr:uid="{00000000-0006-0000-0200-0000E5000000}">
      <text>
        <r>
          <rPr>
            <sz val="8"/>
            <color indexed="81"/>
            <rFont val="Tahoma"/>
            <family val="2"/>
          </rPr>
          <t xml:space="preserve">Customers use WC/urinal facilities on 80 per cent of shopping visits (source: BD2683, slightly lower than BNWAT22 report assumption); male customers use a WC on 1 in 6 occasions and a urinal on 5 of 6 occasions (Source: BNWAT22).
Therefore, usage per person is calculated as:
WC male (urinals) = ((1*0.8)/6)*1 = 0.1333
</t>
        </r>
      </text>
    </comment>
    <comment ref="J33" authorId="0" shapeId="0" xr:uid="{00000000-0006-0000-0200-0000E6000000}">
      <text>
        <r>
          <rPr>
            <sz val="8"/>
            <color indexed="81"/>
            <rFont val="Tahoma"/>
            <family val="2"/>
          </rPr>
          <t xml:space="preserve">Customers use WC/urinal facilities on 80 per cent of shopping visits (source: BD2683, slightly lower than BNWAT22 report assumption); male customers use a WC on 1 in 6 occasions and a urinal on 5 of 6 occasions (Source: BNWAT22).
Therefore, usage per person is calculated as:
WC male (no urinals) = 1*0.8=0.8
</t>
        </r>
      </text>
    </comment>
    <comment ref="K33" authorId="0" shapeId="0" xr:uid="{00000000-0006-0000-0200-0000E7000000}">
      <text>
        <r>
          <rPr>
            <sz val="8"/>
            <color indexed="81"/>
            <rFont val="Tahoma"/>
            <family val="2"/>
          </rPr>
          <t xml:space="preserve">Customers use WC/urinal facilities on 80 per cent of shopping visits (source: BD2683, slightly lower than BNWAT22 report assumption); male customers use a WC on 1 in 6 occasions and a urinal on 5 of 6 occasions (Source: BNWAT22).
Therefore, usage per person is calculated as:
WC female = 1*0.8 0.8
</t>
        </r>
      </text>
    </comment>
    <comment ref="L33" authorId="0" shapeId="0" xr:uid="{00000000-0006-0000-0200-0000E8000000}">
      <text>
        <r>
          <rPr>
            <sz val="8"/>
            <color indexed="81"/>
            <rFont val="Tahoma"/>
            <family val="2"/>
          </rPr>
          <t xml:space="preserve">Customers use WC/urinal facilities on 80 per cent of shopping visits (source: BD2683, slightly lower than BNWAT22 report assumption); male customers use a WC on 1 in 6 occasions and a urinal on 5 of 6 occasions (Source: BNWAT22).
Therefore, usage per person is calculated as:
Urinals = ((1*0.8)/6)*5 = 0.667
</t>
        </r>
      </text>
    </comment>
    <comment ref="M33" authorId="0" shapeId="0" xr:uid="{00000000-0006-0000-0200-0000E9000000}">
      <text>
        <r>
          <rPr>
            <sz val="8"/>
            <color indexed="81"/>
            <rFont val="Tahoma"/>
            <family val="2"/>
          </rPr>
          <t>Assumes WHB tap usage for each WC visit.</t>
        </r>
      </text>
    </comment>
    <comment ref="N33" authorId="0" shapeId="0" xr:uid="{00000000-0006-0000-0200-0000EA000000}">
      <text>
        <r>
          <rPr>
            <sz val="8"/>
            <color indexed="81"/>
            <rFont val="Tahoma"/>
            <family val="2"/>
          </rPr>
          <t>No customer shower use assumed.</t>
        </r>
      </text>
    </comment>
    <comment ref="O33" authorId="0" shapeId="0" xr:uid="{00000000-0006-0000-0200-0000EB000000}">
      <text>
        <r>
          <rPr>
            <sz val="8"/>
            <color indexed="81"/>
            <rFont val="Tahoma"/>
            <family val="2"/>
          </rPr>
          <t>No bath use assumed in this building type.</t>
        </r>
      </text>
    </comment>
    <comment ref="P33" authorId="0" shapeId="0" xr:uid="{00000000-0006-0000-0200-0000EC000000}">
      <text>
        <r>
          <rPr>
            <sz val="8"/>
            <color indexed="81"/>
            <rFont val="Tahoma"/>
            <family val="2"/>
          </rPr>
          <t>No bath use assumed in this building type.</t>
        </r>
      </text>
    </comment>
    <comment ref="Q33" authorId="0" shapeId="0" xr:uid="{00000000-0006-0000-0200-0000ED000000}">
      <text>
        <r>
          <rPr>
            <sz val="8"/>
            <color indexed="81"/>
            <rFont val="Tahoma"/>
            <family val="2"/>
          </rPr>
          <t>No bath use assumed in this building type.</t>
        </r>
      </text>
    </comment>
    <comment ref="X33" authorId="0" shapeId="0" xr:uid="{00000000-0006-0000-0200-0000EE000000}">
      <text>
        <r>
          <rPr>
            <sz val="8"/>
            <color indexed="81"/>
            <rFont val="Tahoma"/>
            <family val="2"/>
          </rPr>
          <t>No fixed use vessel filling from customers assumed.</t>
        </r>
      </text>
    </comment>
    <comment ref="D34" authorId="0" shapeId="0" xr:uid="{00000000-0006-0000-0200-0000EF000000}">
      <text>
        <r>
          <rPr>
            <sz val="8"/>
            <color indexed="81"/>
            <rFont val="Tahoma"/>
            <family val="2"/>
          </rPr>
          <t>Determined on the basis of 7 days a week opening 52 weeks a year, minus 4 days for Christmas, boxing and easter holidays. Sunday opening is assumed.</t>
        </r>
      </text>
    </comment>
    <comment ref="E34" authorId="0" shapeId="0" xr:uid="{00000000-0006-0000-0200-0000F0000000}">
      <text>
        <r>
          <rPr>
            <sz val="8"/>
            <color indexed="81"/>
            <rFont val="Tahoma"/>
            <family val="2"/>
          </rPr>
          <t>Opening hours Mon-Sat 8am - 10pm (14hrs a day). Sunday 10am-4.30pm (6.5hrs) = average daily hours of 12.93 (rounded to 13hrs).</t>
        </r>
      </text>
    </comment>
    <comment ref="G34" authorId="0" shapeId="0" xr:uid="{00000000-0006-0000-0200-0000F1000000}">
      <text>
        <r>
          <rPr>
            <sz val="8"/>
            <color indexed="81"/>
            <rFont val="Tahoma"/>
            <family val="2"/>
          </rPr>
          <t>This overall ratio is determined using the two separate ratios for staff and customers (below) and the ratio between staff/customers (calculated in the retail calculator).</t>
        </r>
      </text>
    </comment>
    <comment ref="H34" authorId="0" shapeId="0" xr:uid="{00000000-0006-0000-0200-0000F2000000}">
      <text>
        <r>
          <rPr>
            <sz val="8"/>
            <color indexed="81"/>
            <rFont val="Tahoma"/>
            <family val="2"/>
          </rPr>
          <t>This overall ratio is determined using the two separate ratios for staff and customers (below) and the ratio between staff/customers (calculated in the retail calculator).</t>
        </r>
      </text>
    </comment>
    <comment ref="I34" authorId="0" shapeId="0" xr:uid="{00000000-0006-0000-0200-0000F3000000}">
      <text>
        <r>
          <rPr>
            <sz val="8"/>
            <color indexed="81"/>
            <rFont val="Tahoma"/>
            <family val="2"/>
          </rPr>
          <t>This overall usage factor is determined using the two separate factors for staff and customers (below) and the ratio between staff/customers (calculated in the retail calculator).</t>
        </r>
      </text>
    </comment>
    <comment ref="J34" authorId="0" shapeId="0" xr:uid="{00000000-0006-0000-0200-0000F4000000}">
      <text>
        <r>
          <rPr>
            <sz val="8"/>
            <color indexed="81"/>
            <rFont val="Tahoma"/>
            <family val="2"/>
          </rPr>
          <t>This overall usage factor is determined using the two separate factors for staff and customers (below) and the ratio between staff/customers (calculated in the retail calculator).</t>
        </r>
      </text>
    </comment>
    <comment ref="K34" authorId="0" shapeId="0" xr:uid="{00000000-0006-0000-0200-0000F5000000}">
      <text>
        <r>
          <rPr>
            <sz val="8"/>
            <color indexed="81"/>
            <rFont val="Tahoma"/>
            <family val="2"/>
          </rPr>
          <t>This overall usage factor is determined using the two separate factors for staff and customers (below) and the ratio between staff/customers (calculated in the retail calculator).</t>
        </r>
      </text>
    </comment>
    <comment ref="L34" authorId="0" shapeId="0" xr:uid="{00000000-0006-0000-0200-0000F6000000}">
      <text>
        <r>
          <rPr>
            <sz val="8"/>
            <color indexed="81"/>
            <rFont val="Tahoma"/>
            <family val="2"/>
          </rPr>
          <t>This overall usage factor is determined using the two separate factors for staff and customers (below) and the ratio between staff/customers (calculated in the retail calculator).</t>
        </r>
      </text>
    </comment>
    <comment ref="M34" authorId="0" shapeId="0" xr:uid="{00000000-0006-0000-0200-0000F7000000}">
      <text>
        <r>
          <rPr>
            <sz val="8"/>
            <color indexed="81"/>
            <rFont val="Tahoma"/>
            <family val="2"/>
          </rPr>
          <t>This overall usage factor is determined using the two separate factors for staff and customers (below) and the ratio between staff/customers (calculated in the retail calculator).</t>
        </r>
      </text>
    </comment>
    <comment ref="O34" authorId="0" shapeId="0" xr:uid="{00000000-0006-0000-0200-0000F8000000}">
      <text>
        <r>
          <rPr>
            <sz val="8"/>
            <color indexed="81"/>
            <rFont val="Tahoma"/>
            <family val="2"/>
          </rPr>
          <t>No bath use assumed in this building type.</t>
        </r>
      </text>
    </comment>
    <comment ref="P34" authorId="0" shapeId="0" xr:uid="{00000000-0006-0000-0200-0000F9000000}">
      <text>
        <r>
          <rPr>
            <sz val="8"/>
            <color indexed="81"/>
            <rFont val="Tahoma"/>
            <family val="2"/>
          </rPr>
          <t>No bath use assumed in this building type.</t>
        </r>
      </text>
    </comment>
    <comment ref="Q34" authorId="0" shapeId="0" xr:uid="{00000000-0006-0000-0200-0000FA000000}">
      <text>
        <r>
          <rPr>
            <sz val="8"/>
            <color indexed="81"/>
            <rFont val="Tahoma"/>
            <family val="2"/>
          </rPr>
          <t>No bath use assumed in this building type.</t>
        </r>
      </text>
    </comment>
    <comment ref="AC34" authorId="0" shapeId="0" xr:uid="{00000000-0006-0000-0200-0000FB000000}">
      <text>
        <r>
          <rPr>
            <b/>
            <sz val="8"/>
            <color indexed="81"/>
            <rFont val="Tahoma"/>
            <family val="2"/>
          </rPr>
          <t>Source:</t>
        </r>
        <r>
          <rPr>
            <sz val="8"/>
            <color indexed="81"/>
            <rFont val="Tahoma"/>
            <family val="2"/>
          </rPr>
          <t xml:space="preserve"> Communities and Local Government Research to Assess the Costs and Benefits of Improvements to the Water Efficiency of New Non-household Buildings (BD2683)
Equivalent to 15 seconds.</t>
        </r>
        <r>
          <rPr>
            <b/>
            <sz val="8"/>
            <color indexed="81"/>
            <rFont val="Tahoma"/>
            <family val="2"/>
          </rPr>
          <t xml:space="preserve">
</t>
        </r>
        <r>
          <rPr>
            <sz val="8"/>
            <color indexed="81"/>
            <rFont val="Tahoma"/>
            <family val="2"/>
          </rPr>
          <t xml:space="preserve">
</t>
        </r>
      </text>
    </comment>
    <comment ref="AD34" authorId="0" shapeId="0" xr:uid="{00000000-0006-0000-0200-0000FC000000}">
      <text>
        <r>
          <rPr>
            <sz val="8"/>
            <color indexed="81"/>
            <rFont val="Tahoma"/>
            <family val="2"/>
          </rPr>
          <t>Source: CLG domestic water efficiency calc, also used in BS8525 COP for greywater systems.</t>
        </r>
      </text>
    </comment>
    <comment ref="AE34" authorId="0" shapeId="0" xr:uid="{00000000-0006-0000-0200-0000FD000000}">
      <text>
        <r>
          <rPr>
            <sz val="8"/>
            <color indexed="81"/>
            <rFont val="Tahoma"/>
            <family val="2"/>
          </rPr>
          <t>Source: CLG domestic water efficiency calc, also used in BS8525 COP for greywater systems</t>
        </r>
      </text>
    </comment>
    <comment ref="AQ34" authorId="0" shapeId="0" xr:uid="{00000000-0006-0000-0200-0000FE000000}">
      <text>
        <r>
          <rPr>
            <b/>
            <sz val="8"/>
            <color indexed="81"/>
            <rFont val="Tahoma"/>
            <family val="2"/>
          </rPr>
          <t xml:space="preserve">MTP BNWat07 "Baths": </t>
        </r>
        <r>
          <rPr>
            <sz val="8"/>
            <color indexed="81"/>
            <rFont val="Tahoma"/>
            <family val="2"/>
          </rPr>
          <t>The average volume of water used per bath is approximately 40 % of the maximum volume of the bath as defined by the overflow point.
This reflects that a) people don't fill bath to the overflow and b) the Archimedes' principle of buoyancy i.e. average human will displace 70 litres of water.</t>
        </r>
        <r>
          <rPr>
            <sz val="8"/>
            <color indexed="81"/>
            <rFont val="Tahoma"/>
            <family val="2"/>
          </rPr>
          <t xml:space="preserve">
</t>
        </r>
      </text>
    </comment>
    <comment ref="AR34" authorId="0" shapeId="0" xr:uid="{00000000-0006-0000-0200-0000FF000000}">
      <text>
        <r>
          <rPr>
            <sz val="8"/>
            <color indexed="81"/>
            <rFont val="Tahoma"/>
            <family val="2"/>
          </rPr>
          <t>Two-thirds to account for the fact that taps will not to be run at full volume.</t>
        </r>
        <r>
          <rPr>
            <sz val="8"/>
            <color indexed="81"/>
            <rFont val="Tahoma"/>
            <family val="2"/>
          </rPr>
          <t xml:space="preserve">
</t>
        </r>
      </text>
    </comment>
    <comment ref="G35" authorId="0" shapeId="0" xr:uid="{00000000-0006-0000-0200-000000010000}">
      <text>
        <r>
          <rPr>
            <sz val="8"/>
            <color indexed="81"/>
            <rFont val="Tahoma"/>
            <family val="2"/>
          </rPr>
          <t>Standard ratio for employees.</t>
        </r>
      </text>
    </comment>
    <comment ref="H35" authorId="0" shapeId="0" xr:uid="{00000000-0006-0000-0200-000001010000}">
      <text>
        <r>
          <rPr>
            <sz val="8"/>
            <color indexed="81"/>
            <rFont val="Tahoma"/>
            <family val="2"/>
          </rPr>
          <t>Standard ratio for employees.</t>
        </r>
      </text>
    </comment>
    <comment ref="I35" authorId="0" shapeId="0" xr:uid="{00000000-0006-0000-0200-000002010000}">
      <text>
        <r>
          <rPr>
            <sz val="8"/>
            <color indexed="81"/>
            <rFont val="Tahoma"/>
            <family val="2"/>
          </rPr>
          <t xml:space="preserve">Source: BNWAT22
</t>
        </r>
      </text>
    </comment>
    <comment ref="J35" authorId="0" shapeId="0" xr:uid="{00000000-0006-0000-0200-000003010000}">
      <text>
        <r>
          <rPr>
            <sz val="8"/>
            <color indexed="81"/>
            <rFont val="Tahoma"/>
            <family val="2"/>
          </rPr>
          <t xml:space="preserve">Source: BNWAT22
</t>
        </r>
      </text>
    </comment>
    <comment ref="K35" authorId="0" shapeId="0" xr:uid="{00000000-0006-0000-0200-000004010000}">
      <text>
        <r>
          <rPr>
            <sz val="8"/>
            <color indexed="81"/>
            <rFont val="Tahoma"/>
            <family val="2"/>
          </rPr>
          <t xml:space="preserve">Source: BNWAT22
</t>
        </r>
      </text>
    </comment>
    <comment ref="L35" authorId="0" shapeId="0" xr:uid="{00000000-0006-0000-0200-000005010000}">
      <text>
        <r>
          <rPr>
            <sz val="8"/>
            <color indexed="81"/>
            <rFont val="Tahoma"/>
            <family val="2"/>
          </rPr>
          <t xml:space="preserve">Source: BNWAT22
</t>
        </r>
      </text>
    </comment>
    <comment ref="M35" authorId="0" shapeId="0" xr:uid="{00000000-0006-0000-0200-000006010000}">
      <text>
        <r>
          <rPr>
            <sz val="8"/>
            <color indexed="81"/>
            <rFont val="Tahoma"/>
            <family val="2"/>
          </rPr>
          <t>Assumes WHB tap usage for each WC visit.</t>
        </r>
      </text>
    </comment>
    <comment ref="N35" authorId="0" shapeId="0" xr:uid="{00000000-0006-0000-0200-000007010000}">
      <text>
        <r>
          <rPr>
            <sz val="8"/>
            <color indexed="81"/>
            <rFont val="Tahoma"/>
            <family val="2"/>
          </rPr>
          <t>As per shower use assumptions/data used for offices.</t>
        </r>
      </text>
    </comment>
    <comment ref="O35" authorId="0" shapeId="0" xr:uid="{00000000-0006-0000-0200-000008010000}">
      <text>
        <r>
          <rPr>
            <sz val="8"/>
            <color indexed="81"/>
            <rFont val="Tahoma"/>
            <family val="2"/>
          </rPr>
          <t>No bath use assumed in this building type.</t>
        </r>
      </text>
    </comment>
    <comment ref="P35" authorId="0" shapeId="0" xr:uid="{00000000-0006-0000-0200-000009010000}">
      <text>
        <r>
          <rPr>
            <sz val="8"/>
            <color indexed="81"/>
            <rFont val="Tahoma"/>
            <family val="2"/>
          </rPr>
          <t>No bath use assumed in this building type.</t>
        </r>
      </text>
    </comment>
    <comment ref="Q35" authorId="0" shapeId="0" xr:uid="{00000000-0006-0000-0200-00000A010000}">
      <text>
        <r>
          <rPr>
            <sz val="8"/>
            <color indexed="81"/>
            <rFont val="Tahoma"/>
            <family val="2"/>
          </rPr>
          <t>No bath use assumed in this building type.</t>
        </r>
      </text>
    </comment>
    <comment ref="G36" authorId="0" shapeId="0" xr:uid="{00000000-0006-0000-0200-00000B010000}">
      <text>
        <r>
          <rPr>
            <sz val="8"/>
            <color indexed="81"/>
            <rFont val="Tahoma"/>
            <family val="2"/>
          </rPr>
          <t>Source: BS 6465.</t>
        </r>
      </text>
    </comment>
    <comment ref="H36" authorId="0" shapeId="0" xr:uid="{00000000-0006-0000-0200-00000C010000}">
      <text>
        <r>
          <rPr>
            <sz val="8"/>
            <color indexed="81"/>
            <rFont val="Tahoma"/>
            <family val="2"/>
          </rPr>
          <t>Source: BS 6465.</t>
        </r>
      </text>
    </comment>
    <comment ref="I36" authorId="0" shapeId="0" xr:uid="{00000000-0006-0000-0200-00000D010000}">
      <text>
        <r>
          <rPr>
            <sz val="8"/>
            <color indexed="81"/>
            <rFont val="Tahoma"/>
            <family val="2"/>
          </rPr>
          <t xml:space="preserve">Customers use WC/urinal facilities on 80 per cent of shopping visits (source: BD2683, slightly lower than BNWAT22 report assumption); male customers use a WC on 1 in 6 occasions and a urinal on 5 of 6 occasions (Source: BNWAT22).
Therefore, usage per person is calculated as:
WC male (urinals) = ((1*0.8)/6)*1 = 0.1333
</t>
        </r>
      </text>
    </comment>
    <comment ref="J36" authorId="0" shapeId="0" xr:uid="{00000000-0006-0000-0200-00000E010000}">
      <text>
        <r>
          <rPr>
            <sz val="8"/>
            <color indexed="81"/>
            <rFont val="Tahoma"/>
            <family val="2"/>
          </rPr>
          <t xml:space="preserve">Customers use WC/urinal facilities on 80 per cent of shopping visits (source: BD2683, slightly lower than BNWAT22 report assumption); male customers use a WC on 1 in 6 occasions and a urinal on 5 of 6 occasions (Source: BNWAT22).
Therefore, usage per person is calculated as:
WC male (no urinals) = 1*0.8=0.8
</t>
        </r>
      </text>
    </comment>
    <comment ref="K36" authorId="0" shapeId="0" xr:uid="{00000000-0006-0000-0200-00000F010000}">
      <text>
        <r>
          <rPr>
            <sz val="8"/>
            <color indexed="81"/>
            <rFont val="Tahoma"/>
            <family val="2"/>
          </rPr>
          <t xml:space="preserve">Customers use WC/urinal facilities on 80 per cent of shopping visits (source: BD2683, slightly lower than BNWAT22 report assumption); male customers use a WC on 1 in 6 occasions and a urinal on 5 of 6 occasions (Source: BNWAT22).
Therefore, usage per person is calculated as:
WC female = 1*0.8 0.8
</t>
        </r>
      </text>
    </comment>
    <comment ref="L36" authorId="0" shapeId="0" xr:uid="{00000000-0006-0000-0200-000010010000}">
      <text>
        <r>
          <rPr>
            <sz val="8"/>
            <color indexed="81"/>
            <rFont val="Tahoma"/>
            <family val="2"/>
          </rPr>
          <t xml:space="preserve">Customers use WC/urinal facilities on 80 per cent of shopping visits (source: BD2683, slightly lower than BNWAT22 report assumption); male customers use a WC on 1 in 6 occasions and a urinal on 5 of 6 occasions (Source: BNWAT22).
Therefore, usage per person is calculated as:
Urinals = ((1*0.8)/6)*5 = 0.667
</t>
        </r>
      </text>
    </comment>
    <comment ref="M36" authorId="0" shapeId="0" xr:uid="{00000000-0006-0000-0200-000011010000}">
      <text>
        <r>
          <rPr>
            <sz val="8"/>
            <color indexed="81"/>
            <rFont val="Tahoma"/>
            <family val="2"/>
          </rPr>
          <t>Assumes WHB tap usage for each WC visit.</t>
        </r>
      </text>
    </comment>
    <comment ref="N36" authorId="0" shapeId="0" xr:uid="{00000000-0006-0000-0200-000012010000}">
      <text>
        <r>
          <rPr>
            <sz val="8"/>
            <color indexed="81"/>
            <rFont val="Tahoma"/>
            <family val="2"/>
          </rPr>
          <t>No customer shower use assumed.</t>
        </r>
      </text>
    </comment>
    <comment ref="O36" authorId="0" shapeId="0" xr:uid="{00000000-0006-0000-0200-000013010000}">
      <text>
        <r>
          <rPr>
            <sz val="8"/>
            <color indexed="81"/>
            <rFont val="Tahoma"/>
            <family val="2"/>
          </rPr>
          <t>No bath use assumed in this building type.</t>
        </r>
      </text>
    </comment>
    <comment ref="P36" authorId="0" shapeId="0" xr:uid="{00000000-0006-0000-0200-000014010000}">
      <text>
        <r>
          <rPr>
            <sz val="8"/>
            <color indexed="81"/>
            <rFont val="Tahoma"/>
            <family val="2"/>
          </rPr>
          <t>No bath use assumed in this building type.</t>
        </r>
      </text>
    </comment>
    <comment ref="Q36" authorId="0" shapeId="0" xr:uid="{00000000-0006-0000-0200-000015010000}">
      <text>
        <r>
          <rPr>
            <sz val="8"/>
            <color indexed="81"/>
            <rFont val="Tahoma"/>
            <family val="2"/>
          </rPr>
          <t>No bath use assumed in this building type.</t>
        </r>
      </text>
    </comment>
    <comment ref="X36" authorId="0" shapeId="0" xr:uid="{00000000-0006-0000-0200-000016010000}">
      <text>
        <r>
          <rPr>
            <sz val="8"/>
            <color indexed="81"/>
            <rFont val="Tahoma"/>
            <family val="2"/>
          </rPr>
          <t>No fixed use vessel filling from customers assumed.</t>
        </r>
      </text>
    </comment>
    <comment ref="D37" authorId="0" shapeId="0" xr:uid="{00000000-0006-0000-0200-000017010000}">
      <text>
        <r>
          <rPr>
            <sz val="8"/>
            <color indexed="81"/>
            <rFont val="Tahoma"/>
            <family val="2"/>
          </rPr>
          <t>Determined on the basis of 6 days a week opening 52 weeks a year, minus 8 bank holidays.</t>
        </r>
      </text>
    </comment>
    <comment ref="E37" authorId="0" shapeId="0" xr:uid="{00000000-0006-0000-0200-000018010000}">
      <text>
        <r>
          <rPr>
            <sz val="8"/>
            <color indexed="81"/>
            <rFont val="Tahoma"/>
            <family val="2"/>
          </rPr>
          <t>Assumes 9am-5pm opening hours.</t>
        </r>
      </text>
    </comment>
    <comment ref="G37" authorId="0" shapeId="0" xr:uid="{00000000-0006-0000-0200-000019010000}">
      <text>
        <r>
          <rPr>
            <sz val="8"/>
            <color indexed="81"/>
            <rFont val="Tahoma"/>
            <family val="2"/>
          </rPr>
          <t>This overall ratio is determined using the two separate ratios for staff and customers (below) and the ratio between staff/customers (calculated in the retail calculator).</t>
        </r>
      </text>
    </comment>
    <comment ref="H37" authorId="0" shapeId="0" xr:uid="{00000000-0006-0000-0200-00001A010000}">
      <text>
        <r>
          <rPr>
            <sz val="8"/>
            <color indexed="81"/>
            <rFont val="Tahoma"/>
            <family val="2"/>
          </rPr>
          <t>This overall ratio is determined using the two separate ratios for staff and customers (below) and the ratio between staff/customers (calculated in the retail calculator).</t>
        </r>
      </text>
    </comment>
    <comment ref="I37" authorId="0" shapeId="0" xr:uid="{00000000-0006-0000-0200-00001B010000}">
      <text>
        <r>
          <rPr>
            <sz val="8"/>
            <color indexed="81"/>
            <rFont val="Tahoma"/>
            <family val="2"/>
          </rPr>
          <t>This overall usage factor is determined using the two separate factors for staff and customers (below) and the ratio between staff/customers (calculated in the retail calculator).</t>
        </r>
      </text>
    </comment>
    <comment ref="J37" authorId="0" shapeId="0" xr:uid="{00000000-0006-0000-0200-00001C010000}">
      <text>
        <r>
          <rPr>
            <sz val="8"/>
            <color indexed="81"/>
            <rFont val="Tahoma"/>
            <family val="2"/>
          </rPr>
          <t>This overall usage factor is determined using the two separate factors for staff and customers (below) and the ratio between staff/customers (calculated in the retail calculator).</t>
        </r>
      </text>
    </comment>
    <comment ref="K37" authorId="0" shapeId="0" xr:uid="{00000000-0006-0000-0200-00001D010000}">
      <text>
        <r>
          <rPr>
            <sz val="8"/>
            <color indexed="81"/>
            <rFont val="Tahoma"/>
            <family val="2"/>
          </rPr>
          <t>This overall usage factor is determined using the two separate factors for staff and customers (below) and the ratio between staff/customers (calculated in the retail calculator).</t>
        </r>
      </text>
    </comment>
    <comment ref="L37" authorId="0" shapeId="0" xr:uid="{00000000-0006-0000-0200-00001E010000}">
      <text>
        <r>
          <rPr>
            <sz val="8"/>
            <color indexed="81"/>
            <rFont val="Tahoma"/>
            <family val="2"/>
          </rPr>
          <t>This overall usage factor is determined using the two separate factors for staff and customers (below) and the ratio between staff/customers (calculated in the retail calculator).</t>
        </r>
      </text>
    </comment>
    <comment ref="M37" authorId="0" shapeId="0" xr:uid="{00000000-0006-0000-0200-00001F010000}">
      <text>
        <r>
          <rPr>
            <sz val="8"/>
            <color indexed="81"/>
            <rFont val="Tahoma"/>
            <family val="2"/>
          </rPr>
          <t>This overall usage factor is determined using the two separate factors for staff and customers (below) and the ratio between staff/customers (calculated in the retail calculator).</t>
        </r>
      </text>
    </comment>
    <comment ref="O37" authorId="0" shapeId="0" xr:uid="{00000000-0006-0000-0200-000020010000}">
      <text>
        <r>
          <rPr>
            <sz val="8"/>
            <color indexed="81"/>
            <rFont val="Tahoma"/>
            <family val="2"/>
          </rPr>
          <t>No bath use assumed in this building type.</t>
        </r>
      </text>
    </comment>
    <comment ref="P37" authorId="0" shapeId="0" xr:uid="{00000000-0006-0000-0200-000021010000}">
      <text>
        <r>
          <rPr>
            <sz val="8"/>
            <color indexed="81"/>
            <rFont val="Tahoma"/>
            <family val="2"/>
          </rPr>
          <t>No bath use assumed in this building type.</t>
        </r>
      </text>
    </comment>
    <comment ref="Q37" authorId="0" shapeId="0" xr:uid="{00000000-0006-0000-0200-000022010000}">
      <text>
        <r>
          <rPr>
            <sz val="8"/>
            <color indexed="81"/>
            <rFont val="Tahoma"/>
            <family val="2"/>
          </rPr>
          <t>No bath use assumed in this building type.</t>
        </r>
      </text>
    </comment>
    <comment ref="AC37" authorId="0" shapeId="0" xr:uid="{00000000-0006-0000-0200-000023010000}">
      <text>
        <r>
          <rPr>
            <b/>
            <sz val="8"/>
            <color indexed="81"/>
            <rFont val="Tahoma"/>
            <family val="2"/>
          </rPr>
          <t>Source:</t>
        </r>
        <r>
          <rPr>
            <sz val="8"/>
            <color indexed="81"/>
            <rFont val="Tahoma"/>
            <family val="2"/>
          </rPr>
          <t xml:space="preserve"> Communities and Local Government Research to Assess the Costs and Benefits of Improvements to the Water Efficiency of New Non-household Buildings (BD2683)
Equivalent to 15 seconds.</t>
        </r>
        <r>
          <rPr>
            <b/>
            <sz val="8"/>
            <color indexed="81"/>
            <rFont val="Tahoma"/>
            <family val="2"/>
          </rPr>
          <t xml:space="preserve">
</t>
        </r>
        <r>
          <rPr>
            <sz val="8"/>
            <color indexed="81"/>
            <rFont val="Tahoma"/>
            <family val="2"/>
          </rPr>
          <t xml:space="preserve">
</t>
        </r>
      </text>
    </comment>
    <comment ref="AD37" authorId="0" shapeId="0" xr:uid="{00000000-0006-0000-0200-000024010000}">
      <text>
        <r>
          <rPr>
            <sz val="8"/>
            <color indexed="81"/>
            <rFont val="Tahoma"/>
            <family val="2"/>
          </rPr>
          <t>Source: CLG domestic water efficiency calc, also used in BS8525 COP for greywater systems.</t>
        </r>
      </text>
    </comment>
    <comment ref="AE37" authorId="0" shapeId="0" xr:uid="{00000000-0006-0000-0200-000025010000}">
      <text>
        <r>
          <rPr>
            <sz val="8"/>
            <color indexed="81"/>
            <rFont val="Tahoma"/>
            <family val="2"/>
          </rPr>
          <t>Source: CLG domestic water efficiency calc, also used in BS8525 COP for greywater systems</t>
        </r>
      </text>
    </comment>
    <comment ref="AQ37" authorId="0" shapeId="0" xr:uid="{00000000-0006-0000-0200-000026010000}">
      <text>
        <r>
          <rPr>
            <b/>
            <sz val="8"/>
            <color indexed="81"/>
            <rFont val="Tahoma"/>
            <family val="2"/>
          </rPr>
          <t xml:space="preserve">MTP BNWat07 "Baths": </t>
        </r>
        <r>
          <rPr>
            <sz val="8"/>
            <color indexed="81"/>
            <rFont val="Tahoma"/>
            <family val="2"/>
          </rPr>
          <t>The average volume of water used per bath is approximately 40 % of the maximum volume of the bath as defined by the overflow point.
This reflects that a) people don't fill bath to the overflow and b) the Archimedes' principle of buoyancy i.e. average human will displace 70 litres of water.</t>
        </r>
        <r>
          <rPr>
            <sz val="8"/>
            <color indexed="81"/>
            <rFont val="Tahoma"/>
            <family val="2"/>
          </rPr>
          <t xml:space="preserve">
</t>
        </r>
      </text>
    </comment>
    <comment ref="AR37" authorId="0" shapeId="0" xr:uid="{00000000-0006-0000-0200-000027010000}">
      <text>
        <r>
          <rPr>
            <sz val="8"/>
            <color indexed="81"/>
            <rFont val="Tahoma"/>
            <family val="2"/>
          </rPr>
          <t>Two-thirds to account for the fact that taps will not to be run at full volume.</t>
        </r>
        <r>
          <rPr>
            <sz val="8"/>
            <color indexed="81"/>
            <rFont val="Tahoma"/>
            <family val="2"/>
          </rPr>
          <t xml:space="preserve">
</t>
        </r>
      </text>
    </comment>
    <comment ref="G38" authorId="0" shapeId="0" xr:uid="{00000000-0006-0000-0200-000028010000}">
      <text>
        <r>
          <rPr>
            <sz val="8"/>
            <color indexed="81"/>
            <rFont val="Tahoma"/>
            <family val="2"/>
          </rPr>
          <t>Standard ratio for employees.</t>
        </r>
      </text>
    </comment>
    <comment ref="H38" authorId="0" shapeId="0" xr:uid="{00000000-0006-0000-0200-000029010000}">
      <text>
        <r>
          <rPr>
            <sz val="8"/>
            <color indexed="81"/>
            <rFont val="Tahoma"/>
            <family val="2"/>
          </rPr>
          <t>Standard ratio for employees.</t>
        </r>
      </text>
    </comment>
    <comment ref="I38" authorId="0" shapeId="0" xr:uid="{00000000-0006-0000-0200-00002A010000}">
      <text>
        <r>
          <rPr>
            <sz val="8"/>
            <color indexed="81"/>
            <rFont val="Tahoma"/>
            <family val="2"/>
          </rPr>
          <t xml:space="preserve">Source: BNWAT22
</t>
        </r>
      </text>
    </comment>
    <comment ref="J38" authorId="0" shapeId="0" xr:uid="{00000000-0006-0000-0200-00002B010000}">
      <text>
        <r>
          <rPr>
            <sz val="8"/>
            <color indexed="81"/>
            <rFont val="Tahoma"/>
            <family val="2"/>
          </rPr>
          <t xml:space="preserve">Source: BNWAT22
</t>
        </r>
      </text>
    </comment>
    <comment ref="K38" authorId="0" shapeId="0" xr:uid="{00000000-0006-0000-0200-00002C010000}">
      <text>
        <r>
          <rPr>
            <sz val="8"/>
            <color indexed="81"/>
            <rFont val="Tahoma"/>
            <family val="2"/>
          </rPr>
          <t xml:space="preserve">Source: BNWAT22
</t>
        </r>
      </text>
    </comment>
    <comment ref="L38" authorId="0" shapeId="0" xr:uid="{00000000-0006-0000-0200-00002D010000}">
      <text>
        <r>
          <rPr>
            <sz val="8"/>
            <color indexed="81"/>
            <rFont val="Tahoma"/>
            <family val="2"/>
          </rPr>
          <t xml:space="preserve">Source: BNWAT22
</t>
        </r>
      </text>
    </comment>
    <comment ref="M38" authorId="0" shapeId="0" xr:uid="{00000000-0006-0000-0200-00002E010000}">
      <text>
        <r>
          <rPr>
            <sz val="8"/>
            <color indexed="81"/>
            <rFont val="Tahoma"/>
            <family val="2"/>
          </rPr>
          <t>Assumes WHB tap usage for each WC visit.</t>
        </r>
      </text>
    </comment>
    <comment ref="N38" authorId="0" shapeId="0" xr:uid="{00000000-0006-0000-0200-00002F010000}">
      <text>
        <r>
          <rPr>
            <sz val="8"/>
            <color indexed="81"/>
            <rFont val="Tahoma"/>
            <family val="2"/>
          </rPr>
          <t>As per shower use assumptions/data used for offices.</t>
        </r>
      </text>
    </comment>
    <comment ref="O38" authorId="0" shapeId="0" xr:uid="{00000000-0006-0000-0200-000030010000}">
      <text>
        <r>
          <rPr>
            <sz val="8"/>
            <color indexed="81"/>
            <rFont val="Tahoma"/>
            <family val="2"/>
          </rPr>
          <t>No bath use assumed in this building type.</t>
        </r>
      </text>
    </comment>
    <comment ref="P38" authorId="0" shapeId="0" xr:uid="{00000000-0006-0000-0200-000031010000}">
      <text>
        <r>
          <rPr>
            <sz val="8"/>
            <color indexed="81"/>
            <rFont val="Tahoma"/>
            <family val="2"/>
          </rPr>
          <t>No bath use assumed in this building type.</t>
        </r>
      </text>
    </comment>
    <comment ref="Q38" authorId="0" shapeId="0" xr:uid="{00000000-0006-0000-0200-000032010000}">
      <text>
        <r>
          <rPr>
            <sz val="8"/>
            <color indexed="81"/>
            <rFont val="Tahoma"/>
            <family val="2"/>
          </rPr>
          <t>No bath use assumed in this building type.</t>
        </r>
      </text>
    </comment>
    <comment ref="G39" authorId="0" shapeId="0" xr:uid="{00000000-0006-0000-0200-000033010000}">
      <text>
        <r>
          <rPr>
            <sz val="8"/>
            <color indexed="81"/>
            <rFont val="Tahoma"/>
            <family val="2"/>
          </rPr>
          <t>Source: BS 6465.</t>
        </r>
      </text>
    </comment>
    <comment ref="H39" authorId="0" shapeId="0" xr:uid="{00000000-0006-0000-0200-000034010000}">
      <text>
        <r>
          <rPr>
            <sz val="8"/>
            <color indexed="81"/>
            <rFont val="Tahoma"/>
            <family val="2"/>
          </rPr>
          <t>Source: BS 6465.</t>
        </r>
      </text>
    </comment>
    <comment ref="I39" authorId="0" shapeId="0" xr:uid="{00000000-0006-0000-0200-000035010000}">
      <text>
        <r>
          <rPr>
            <sz val="8"/>
            <color indexed="81"/>
            <rFont val="Tahoma"/>
            <family val="2"/>
          </rPr>
          <t xml:space="preserve">Customers use WC/urinal facilities on 80 per cent of shopping visits (source: BD2683, slightly lower than BNWAT22 report assumption); male customers use a WC on 1 in 6 occasions and a urinal on 5 of 6 occasions (Source: BNWAT22).
Therefore, usage per person is calculated as:
WC male (urinals) = ((1*0.8)/6)*1 = 0.1333
</t>
        </r>
      </text>
    </comment>
    <comment ref="J39" authorId="0" shapeId="0" xr:uid="{00000000-0006-0000-0200-000036010000}">
      <text>
        <r>
          <rPr>
            <sz val="8"/>
            <color indexed="81"/>
            <rFont val="Tahoma"/>
            <family val="2"/>
          </rPr>
          <t xml:space="preserve">Customers use WC/urinal facilities on 80 per cent of shopping visits (source: BD2683, slightly lower than BNWAT22 report assumption); male customers use a WC on 1 in 6 occasions and a urinal on 5 of 6 occasions (Source: BNWAT22).
Therefore, usage per person is calculated as:
WC male (no urinals) = 1*0.8=0.8
</t>
        </r>
      </text>
    </comment>
    <comment ref="K39" authorId="0" shapeId="0" xr:uid="{00000000-0006-0000-0200-000037010000}">
      <text>
        <r>
          <rPr>
            <sz val="8"/>
            <color indexed="81"/>
            <rFont val="Tahoma"/>
            <family val="2"/>
          </rPr>
          <t xml:space="preserve">Customers use WC/urinal facilities on 80 per cent of shopping visits (source: BD2683, slightly lower than BNWAT22 report assumption); male customers use a WC on 1 in 6 occasions and a urinal on 5 of 6 occasions (Source: BNWAT22).
Therefore, usage per person is calculated as:
WC female = 1*0.8 0.8
</t>
        </r>
      </text>
    </comment>
    <comment ref="L39" authorId="0" shapeId="0" xr:uid="{00000000-0006-0000-0200-000038010000}">
      <text>
        <r>
          <rPr>
            <sz val="8"/>
            <color indexed="81"/>
            <rFont val="Tahoma"/>
            <family val="2"/>
          </rPr>
          <t xml:space="preserve">Customers use WC/urinal facilities on 80 per cent of shopping visits (source: BD2683, slightly lower than BNWAT22 report assumption); male customers use a WC on 1 in 6 occasions and a urinal on 5 of 6 occasions (Source: BNWAT22).
Therefore, usage per person is calculated as:
Urinals = ((1*0.8)/6)*5 = 0.667
</t>
        </r>
      </text>
    </comment>
    <comment ref="M39" authorId="0" shapeId="0" xr:uid="{00000000-0006-0000-0200-000039010000}">
      <text>
        <r>
          <rPr>
            <sz val="8"/>
            <color indexed="81"/>
            <rFont val="Tahoma"/>
            <family val="2"/>
          </rPr>
          <t>Assumes WHB tap usage for each WC visit.</t>
        </r>
      </text>
    </comment>
    <comment ref="N39" authorId="0" shapeId="0" xr:uid="{00000000-0006-0000-0200-00003A010000}">
      <text>
        <r>
          <rPr>
            <sz val="8"/>
            <color indexed="81"/>
            <rFont val="Tahoma"/>
            <family val="2"/>
          </rPr>
          <t>No customer shower use assumed.</t>
        </r>
      </text>
    </comment>
    <comment ref="O39" authorId="0" shapeId="0" xr:uid="{00000000-0006-0000-0200-00003B010000}">
      <text>
        <r>
          <rPr>
            <sz val="8"/>
            <color indexed="81"/>
            <rFont val="Tahoma"/>
            <family val="2"/>
          </rPr>
          <t>No bath use assumed in this building type.</t>
        </r>
      </text>
    </comment>
    <comment ref="P39" authorId="0" shapeId="0" xr:uid="{00000000-0006-0000-0200-00003C010000}">
      <text>
        <r>
          <rPr>
            <sz val="8"/>
            <color indexed="81"/>
            <rFont val="Tahoma"/>
            <family val="2"/>
          </rPr>
          <t>No bath use assumed in this building type.</t>
        </r>
      </text>
    </comment>
    <comment ref="Q39" authorId="0" shapeId="0" xr:uid="{00000000-0006-0000-0200-00003D010000}">
      <text>
        <r>
          <rPr>
            <sz val="8"/>
            <color indexed="81"/>
            <rFont val="Tahoma"/>
            <family val="2"/>
          </rPr>
          <t>No bath use assumed in this building type.</t>
        </r>
      </text>
    </comment>
    <comment ref="X39" authorId="0" shapeId="0" xr:uid="{00000000-0006-0000-0200-00003E010000}">
      <text>
        <r>
          <rPr>
            <sz val="8"/>
            <color indexed="81"/>
            <rFont val="Tahoma"/>
            <family val="2"/>
          </rPr>
          <t>No fixed use vessel filling from customers assumed.</t>
        </r>
      </text>
    </comment>
    <comment ref="D40" authorId="0" shapeId="0" xr:uid="{00000000-0006-0000-0200-00003F010000}">
      <text>
        <r>
          <rPr>
            <sz val="8"/>
            <color indexed="81"/>
            <rFont val="Tahoma"/>
            <family val="2"/>
          </rPr>
          <t>Determined on the basis of 7 days a week opening 52 weeks a year, minus 4 days for Christmas, boxing and easter holidays. Sunday opening is assumed.</t>
        </r>
      </text>
    </comment>
    <comment ref="E40" authorId="0" shapeId="0" xr:uid="{00000000-0006-0000-0200-000040010000}">
      <text>
        <r>
          <rPr>
            <sz val="8"/>
            <color indexed="81"/>
            <rFont val="Tahoma"/>
            <family val="2"/>
          </rPr>
          <t>Assumes 9am - 6pm Mon-Sat with 9pm opening on a Thursday. 11am-5pm on Sunday. Therefore average daily opening hours is 9hrs.</t>
        </r>
      </text>
    </comment>
    <comment ref="G40" authorId="0" shapeId="0" xr:uid="{00000000-0006-0000-0200-000041010000}">
      <text>
        <r>
          <rPr>
            <sz val="8"/>
            <color indexed="81"/>
            <rFont val="Tahoma"/>
            <family val="2"/>
          </rPr>
          <t>This overall ratio is determined using the two separate ratios for staff and customers (below) and the ratio between staff/customers (calculated in the retail calculator).</t>
        </r>
      </text>
    </comment>
    <comment ref="H40" authorId="0" shapeId="0" xr:uid="{00000000-0006-0000-0200-000042010000}">
      <text>
        <r>
          <rPr>
            <sz val="8"/>
            <color indexed="81"/>
            <rFont val="Tahoma"/>
            <family val="2"/>
          </rPr>
          <t>This overall ratio is determined using the two separate ratios for staff and customers (below) and the ratio between staff/customers (calculated in the retail calculator).</t>
        </r>
      </text>
    </comment>
    <comment ref="I40" authorId="0" shapeId="0" xr:uid="{00000000-0006-0000-0200-000043010000}">
      <text>
        <r>
          <rPr>
            <sz val="8"/>
            <color indexed="81"/>
            <rFont val="Tahoma"/>
            <family val="2"/>
          </rPr>
          <t>This overall usage factor is determined using the two separate factors for staff and customers (below) and the ratio between staff/customers (calculated in the retail calculator).</t>
        </r>
      </text>
    </comment>
    <comment ref="J40" authorId="0" shapeId="0" xr:uid="{00000000-0006-0000-0200-000044010000}">
      <text>
        <r>
          <rPr>
            <sz val="8"/>
            <color indexed="81"/>
            <rFont val="Tahoma"/>
            <family val="2"/>
          </rPr>
          <t>This overall usage factor is determined using the two separate factors for staff and customers (below) and the ratio between staff/customers (calculated in the retail calculator).</t>
        </r>
      </text>
    </comment>
    <comment ref="K40" authorId="0" shapeId="0" xr:uid="{00000000-0006-0000-0200-000045010000}">
      <text>
        <r>
          <rPr>
            <sz val="8"/>
            <color indexed="81"/>
            <rFont val="Tahoma"/>
            <family val="2"/>
          </rPr>
          <t>This overall usage factor is determined using the two separate factors for staff and customers (below) and the ratio between staff/customers (calculated in the retail calculator).</t>
        </r>
      </text>
    </comment>
    <comment ref="L40" authorId="0" shapeId="0" xr:uid="{00000000-0006-0000-0200-000046010000}">
      <text>
        <r>
          <rPr>
            <sz val="8"/>
            <color indexed="81"/>
            <rFont val="Tahoma"/>
            <family val="2"/>
          </rPr>
          <t>This overall usage factor is determined using the two separate factors for staff and customers (below) and the ratio between staff/customers (calculated in the retail calculator).</t>
        </r>
      </text>
    </comment>
    <comment ref="M40" authorId="0" shapeId="0" xr:uid="{00000000-0006-0000-0200-000047010000}">
      <text>
        <r>
          <rPr>
            <sz val="8"/>
            <color indexed="81"/>
            <rFont val="Tahoma"/>
            <family val="2"/>
          </rPr>
          <t>This overall usage factor is determined using the two separate factors for staff and customers (below) and the ratio between staff/customers (calculated in the retail calculator).</t>
        </r>
      </text>
    </comment>
    <comment ref="O40" authorId="0" shapeId="0" xr:uid="{00000000-0006-0000-0200-000048010000}">
      <text>
        <r>
          <rPr>
            <sz val="8"/>
            <color indexed="81"/>
            <rFont val="Tahoma"/>
            <family val="2"/>
          </rPr>
          <t>No bath use assumed in this building type.</t>
        </r>
      </text>
    </comment>
    <comment ref="P40" authorId="0" shapeId="0" xr:uid="{00000000-0006-0000-0200-000049010000}">
      <text>
        <r>
          <rPr>
            <sz val="8"/>
            <color indexed="81"/>
            <rFont val="Tahoma"/>
            <family val="2"/>
          </rPr>
          <t>No bath use assumed in this building type.</t>
        </r>
      </text>
    </comment>
    <comment ref="Q40" authorId="0" shapeId="0" xr:uid="{00000000-0006-0000-0200-00004A010000}">
      <text>
        <r>
          <rPr>
            <sz val="8"/>
            <color indexed="81"/>
            <rFont val="Tahoma"/>
            <family val="2"/>
          </rPr>
          <t>No bath use assumed in this building type.</t>
        </r>
      </text>
    </comment>
    <comment ref="AC40" authorId="0" shapeId="0" xr:uid="{00000000-0006-0000-0200-00004B010000}">
      <text>
        <r>
          <rPr>
            <b/>
            <sz val="8"/>
            <color indexed="81"/>
            <rFont val="Tahoma"/>
            <family val="2"/>
          </rPr>
          <t>Source:</t>
        </r>
        <r>
          <rPr>
            <sz val="8"/>
            <color indexed="81"/>
            <rFont val="Tahoma"/>
            <family val="2"/>
          </rPr>
          <t xml:space="preserve"> Communities and Local Government Research to Assess the Costs and Benefits of Improvements to the Water Efficiency of New Non-household Buildings (BD2683)
Equivalent to 15 seconds.</t>
        </r>
        <r>
          <rPr>
            <b/>
            <sz val="8"/>
            <color indexed="81"/>
            <rFont val="Tahoma"/>
            <family val="2"/>
          </rPr>
          <t xml:space="preserve">
</t>
        </r>
        <r>
          <rPr>
            <sz val="8"/>
            <color indexed="81"/>
            <rFont val="Tahoma"/>
            <family val="2"/>
          </rPr>
          <t xml:space="preserve">
</t>
        </r>
      </text>
    </comment>
    <comment ref="AD40" authorId="0" shapeId="0" xr:uid="{00000000-0006-0000-0200-00004C010000}">
      <text>
        <r>
          <rPr>
            <sz val="8"/>
            <color indexed="81"/>
            <rFont val="Tahoma"/>
            <family val="2"/>
          </rPr>
          <t>Source: CLG domestic water efficiency calc, also used in BS8525 COP for greywater systems.</t>
        </r>
      </text>
    </comment>
    <comment ref="AE40" authorId="0" shapeId="0" xr:uid="{00000000-0006-0000-0200-00004D010000}">
      <text>
        <r>
          <rPr>
            <sz val="8"/>
            <color indexed="81"/>
            <rFont val="Tahoma"/>
            <family val="2"/>
          </rPr>
          <t>Source: CLG domestic water efficiency calc, also used in BS8525 COP for greywater systems</t>
        </r>
      </text>
    </comment>
    <comment ref="AQ40" authorId="0" shapeId="0" xr:uid="{00000000-0006-0000-0200-00004E010000}">
      <text>
        <r>
          <rPr>
            <b/>
            <sz val="8"/>
            <color indexed="81"/>
            <rFont val="Tahoma"/>
            <family val="2"/>
          </rPr>
          <t xml:space="preserve">MTP BNWat07 "Baths": </t>
        </r>
        <r>
          <rPr>
            <sz val="8"/>
            <color indexed="81"/>
            <rFont val="Tahoma"/>
            <family val="2"/>
          </rPr>
          <t>The average volume of water used per bath is approximately 40 % of the maximum volume of the bath as defined by the overflow point.
This reflects that a) people don't fill bath to the overflow and b) the Archimedes' principle of buoyancy i.e. average human will displace 70 litres of water.</t>
        </r>
        <r>
          <rPr>
            <sz val="8"/>
            <color indexed="81"/>
            <rFont val="Tahoma"/>
            <family val="2"/>
          </rPr>
          <t xml:space="preserve">
</t>
        </r>
      </text>
    </comment>
    <comment ref="AR40" authorId="0" shapeId="0" xr:uid="{00000000-0006-0000-0200-00004F010000}">
      <text>
        <r>
          <rPr>
            <sz val="8"/>
            <color indexed="81"/>
            <rFont val="Tahoma"/>
            <family val="2"/>
          </rPr>
          <t>Two-thirds to account for the fact that taps will not to be run at full volume.</t>
        </r>
        <r>
          <rPr>
            <sz val="8"/>
            <color indexed="81"/>
            <rFont val="Tahoma"/>
            <family val="2"/>
          </rPr>
          <t xml:space="preserve">
</t>
        </r>
      </text>
    </comment>
    <comment ref="G41" authorId="0" shapeId="0" xr:uid="{00000000-0006-0000-0200-000050010000}">
      <text>
        <r>
          <rPr>
            <sz val="8"/>
            <color indexed="81"/>
            <rFont val="Tahoma"/>
            <family val="2"/>
          </rPr>
          <t>Standard ratio for employees.</t>
        </r>
      </text>
    </comment>
    <comment ref="H41" authorId="0" shapeId="0" xr:uid="{00000000-0006-0000-0200-000051010000}">
      <text>
        <r>
          <rPr>
            <sz val="8"/>
            <color indexed="81"/>
            <rFont val="Tahoma"/>
            <family val="2"/>
          </rPr>
          <t>Standard ratio for employees.</t>
        </r>
      </text>
    </comment>
    <comment ref="I41" authorId="0" shapeId="0" xr:uid="{00000000-0006-0000-0200-000052010000}">
      <text>
        <r>
          <rPr>
            <sz val="8"/>
            <color indexed="81"/>
            <rFont val="Tahoma"/>
            <family val="2"/>
          </rPr>
          <t xml:space="preserve">Source: BNWAT22
</t>
        </r>
      </text>
    </comment>
    <comment ref="J41" authorId="0" shapeId="0" xr:uid="{00000000-0006-0000-0200-000053010000}">
      <text>
        <r>
          <rPr>
            <sz val="8"/>
            <color indexed="81"/>
            <rFont val="Tahoma"/>
            <family val="2"/>
          </rPr>
          <t xml:space="preserve">Source: BNWAT22
</t>
        </r>
      </text>
    </comment>
    <comment ref="K41" authorId="0" shapeId="0" xr:uid="{00000000-0006-0000-0200-000054010000}">
      <text>
        <r>
          <rPr>
            <sz val="8"/>
            <color indexed="81"/>
            <rFont val="Tahoma"/>
            <family val="2"/>
          </rPr>
          <t xml:space="preserve">Source: BNWAT22
</t>
        </r>
      </text>
    </comment>
    <comment ref="L41" authorId="0" shapeId="0" xr:uid="{00000000-0006-0000-0200-000055010000}">
      <text>
        <r>
          <rPr>
            <sz val="8"/>
            <color indexed="81"/>
            <rFont val="Tahoma"/>
            <family val="2"/>
          </rPr>
          <t xml:space="preserve">Source: BNWAT22
</t>
        </r>
      </text>
    </comment>
    <comment ref="M41" authorId="0" shapeId="0" xr:uid="{00000000-0006-0000-0200-000056010000}">
      <text>
        <r>
          <rPr>
            <sz val="8"/>
            <color indexed="81"/>
            <rFont val="Tahoma"/>
            <family val="2"/>
          </rPr>
          <t>Assumes WHB tap usage for each WC visit.</t>
        </r>
      </text>
    </comment>
    <comment ref="N41" authorId="0" shapeId="0" xr:uid="{00000000-0006-0000-0200-000057010000}">
      <text>
        <r>
          <rPr>
            <sz val="8"/>
            <color indexed="81"/>
            <rFont val="Tahoma"/>
            <family val="2"/>
          </rPr>
          <t>As per shower use assumptions/data used for offices.</t>
        </r>
      </text>
    </comment>
    <comment ref="O41" authorId="0" shapeId="0" xr:uid="{00000000-0006-0000-0200-000058010000}">
      <text>
        <r>
          <rPr>
            <sz val="8"/>
            <color indexed="81"/>
            <rFont val="Tahoma"/>
            <family val="2"/>
          </rPr>
          <t>No bath use assumed in this building type.</t>
        </r>
      </text>
    </comment>
    <comment ref="P41" authorId="0" shapeId="0" xr:uid="{00000000-0006-0000-0200-000059010000}">
      <text>
        <r>
          <rPr>
            <sz val="8"/>
            <color indexed="81"/>
            <rFont val="Tahoma"/>
            <family val="2"/>
          </rPr>
          <t>No bath use assumed in this building type.</t>
        </r>
      </text>
    </comment>
    <comment ref="Q41" authorId="0" shapeId="0" xr:uid="{00000000-0006-0000-0200-00005A010000}">
      <text>
        <r>
          <rPr>
            <sz val="8"/>
            <color indexed="81"/>
            <rFont val="Tahoma"/>
            <family val="2"/>
          </rPr>
          <t>No bath use assumed in this building type.</t>
        </r>
      </text>
    </comment>
    <comment ref="G42" authorId="0" shapeId="0" xr:uid="{00000000-0006-0000-0200-00005B010000}">
      <text>
        <r>
          <rPr>
            <sz val="8"/>
            <color indexed="81"/>
            <rFont val="Tahoma"/>
            <family val="2"/>
          </rPr>
          <t>Source: BS 6465.</t>
        </r>
      </text>
    </comment>
    <comment ref="H42" authorId="0" shapeId="0" xr:uid="{00000000-0006-0000-0200-00005C010000}">
      <text>
        <r>
          <rPr>
            <sz val="8"/>
            <color indexed="81"/>
            <rFont val="Tahoma"/>
            <family val="2"/>
          </rPr>
          <t>Source: BS 6465.</t>
        </r>
      </text>
    </comment>
    <comment ref="I42" authorId="0" shapeId="0" xr:uid="{00000000-0006-0000-0200-00005D010000}">
      <text>
        <r>
          <rPr>
            <sz val="8"/>
            <color indexed="81"/>
            <rFont val="Tahoma"/>
            <family val="2"/>
          </rPr>
          <t xml:space="preserve">Customers use WC/urinal facilities on 80 per cent of shopping visits (source: BD2683, slightly lower than BNWAT22 report assumption); male customers use a WC on 1 in 6 occasions and a urinal on 5 of 6 occasions (Source: BNWAT22).
Therefore, usage per person is calculated as:
WC male (urinals) = ((1*0.8)/6)*1 = 0.1333
</t>
        </r>
      </text>
    </comment>
    <comment ref="J42" authorId="0" shapeId="0" xr:uid="{00000000-0006-0000-0200-00005E010000}">
      <text>
        <r>
          <rPr>
            <sz val="8"/>
            <color indexed="81"/>
            <rFont val="Tahoma"/>
            <family val="2"/>
          </rPr>
          <t xml:space="preserve">Customers use WC/urinal facilities on 80 per cent of shopping visits (source: BD2683, slightly lower than BNWAT22 report assumption); male customers use a WC on 1 in 6 occasions and a urinal on 5 of 6 occasions (Source: BNWAT22).
Therefore, usage per person is calculated as:
WC male (no urinals) = 1*0.8=0.8
</t>
        </r>
      </text>
    </comment>
    <comment ref="K42" authorId="0" shapeId="0" xr:uid="{00000000-0006-0000-0200-00005F010000}">
      <text>
        <r>
          <rPr>
            <sz val="8"/>
            <color indexed="81"/>
            <rFont val="Tahoma"/>
            <family val="2"/>
          </rPr>
          <t xml:space="preserve">Customers use WC/urinal facilities on 80 per cent of shopping visits (source: BD2683, slightly lower than BNWAT22 report assumption); male customers use a WC on 1 in 6 occasions and a urinal on 5 of 6 occasions (Source: BNWAT22).
Therefore, usage per person is calculated as:
WC female = 1*0.8 0.8
</t>
        </r>
      </text>
    </comment>
    <comment ref="L42" authorId="0" shapeId="0" xr:uid="{00000000-0006-0000-0200-000060010000}">
      <text>
        <r>
          <rPr>
            <sz val="8"/>
            <color indexed="81"/>
            <rFont val="Tahoma"/>
            <family val="2"/>
          </rPr>
          <t xml:space="preserve">Customers use WC/urinal facilities on 80 per cent of shopping visits (source: BD2683, slightly lower than BNWAT22 report assumption); male customers use a WC on 1 in 6 occasions and a urinal on 5 of 6 occasions (Source: BNWAT22).
Therefore, usage per person is calculated as:
Urinals = ((1*0.8)/6)*5 = 0.667
</t>
        </r>
      </text>
    </comment>
    <comment ref="M42" authorId="0" shapeId="0" xr:uid="{00000000-0006-0000-0200-000061010000}">
      <text>
        <r>
          <rPr>
            <sz val="8"/>
            <color indexed="81"/>
            <rFont val="Tahoma"/>
            <family val="2"/>
          </rPr>
          <t>Assumes WHB tap usage for each WC visit.</t>
        </r>
      </text>
    </comment>
    <comment ref="N42" authorId="0" shapeId="0" xr:uid="{00000000-0006-0000-0200-000062010000}">
      <text>
        <r>
          <rPr>
            <sz val="8"/>
            <color indexed="81"/>
            <rFont val="Tahoma"/>
            <family val="2"/>
          </rPr>
          <t>No customer shower use assumed.</t>
        </r>
      </text>
    </comment>
    <comment ref="O42" authorId="0" shapeId="0" xr:uid="{00000000-0006-0000-0200-000063010000}">
      <text>
        <r>
          <rPr>
            <sz val="8"/>
            <color indexed="81"/>
            <rFont val="Tahoma"/>
            <family val="2"/>
          </rPr>
          <t>No bath use assumed in this building type.</t>
        </r>
      </text>
    </comment>
    <comment ref="P42" authorId="0" shapeId="0" xr:uid="{00000000-0006-0000-0200-000064010000}">
      <text>
        <r>
          <rPr>
            <sz val="8"/>
            <color indexed="81"/>
            <rFont val="Tahoma"/>
            <family val="2"/>
          </rPr>
          <t>No bath use assumed in this building type.</t>
        </r>
      </text>
    </comment>
    <comment ref="Q42" authorId="0" shapeId="0" xr:uid="{00000000-0006-0000-0200-000065010000}">
      <text>
        <r>
          <rPr>
            <sz val="8"/>
            <color indexed="81"/>
            <rFont val="Tahoma"/>
            <family val="2"/>
          </rPr>
          <t>No bath use assumed in this building type.</t>
        </r>
      </text>
    </comment>
    <comment ref="X42" authorId="0" shapeId="0" xr:uid="{00000000-0006-0000-0200-000066010000}">
      <text>
        <r>
          <rPr>
            <sz val="8"/>
            <color indexed="81"/>
            <rFont val="Tahoma"/>
            <family val="2"/>
          </rPr>
          <t>No fixed use vessel filling from customers assumed.</t>
        </r>
      </text>
    </comment>
    <comment ref="C43" authorId="0" shapeId="0" xr:uid="{00000000-0006-0000-0200-000067010000}">
      <text>
        <r>
          <rPr>
            <sz val="8"/>
            <color indexed="81"/>
            <rFont val="Tahoma"/>
            <family val="2"/>
          </rPr>
          <t>Table 1, floor space factors in the Building Regulations 2000 Approved Document B Fire Safety states 7.0m2/person (maximum density) for this type of retail space. Therefore, maximum density in person/m2 is 1/7= 0.143.
The average number of customers in store at any one time is 40 per cent of design capacity and the average visit is 0.5hrs (source: BD2683). Therefore, overall customer occupancy is calculated using the ratio provided here, the average opening hours/day for the retail type, the lenght of visit and 40% figure.
For the purpose of determining staff numbers in retail areas  the figure of 1 employee per 90m2 Gross Internal Area is used (source: Employment Densities, a full guide, Arup Economics and Planning, 2001). This figure is converted from gross to net (as that is the measure used by the calculator) by multiplying 90m2 by a factor of 0.85 to give a figure of 76.5m2/employee, which is 0.013 employees/m2.
The staff ratio is not listed here, but used in the retail calculator to determine staff numbers for this building area.</t>
        </r>
      </text>
    </comment>
    <comment ref="C44" authorId="0" shapeId="0" xr:uid="{00000000-0006-0000-0200-000068010000}">
      <text>
        <r>
          <rPr>
            <sz val="8"/>
            <color indexed="81"/>
            <rFont val="Tahoma"/>
            <family val="2"/>
          </rPr>
          <t>Table 1, floor space factors in the Building Regulations 2000 Approved Document B Fire Safety states 2.0m2/person (maximum density) for this type of retail space. Therefore, maximum density in person/m2 is 1/2= 0.50.
The average number of customers in store at any one time is 40 per cent of design capacity and the average visit is 0.5hrs (source: BD2683). Therefore, overall customer occupancy is calculated using the ratio provided here, the average opening hours/day for the retail type, the lenght of visit and 40% figure.
For the purpose of determining staff numbers in retail areas  the figure of 1 employee per 20m2 Gross Internal Area is used (source: Employment Densities, a full guide, Arup Economics and Planning, 2001). This figure is converted from gross to net (as that is the measure used by the calculator) by multiplying 20m2 by a factor of 0.85 to give a figure of 17m2/employee, which is 0.059 employees/m2.
The staff ratio is not listed here, but used in the retail calculator to determine staff numbers for this building area.</t>
        </r>
      </text>
    </comment>
    <comment ref="C45" authorId="0" shapeId="0" xr:uid="{00000000-0006-0000-0200-000069010000}">
      <text>
        <r>
          <rPr>
            <sz val="8"/>
            <color indexed="81"/>
            <rFont val="Tahoma"/>
            <family val="2"/>
          </rPr>
          <t xml:space="preserve">Table 1, floor space factors in the Building Regulations 2000 Approved Document B Fire Safety states 0.7m2/person (maximum density) for this type of retail space. Therefore, maximum density in person/m2 is 1/0.7= 1.43.
The average number of customers in store at any one time is 40 per cent of design capacity and the average visit is 0.5hrs (source: BD2683). Therefore, overall customer occupancy is calculated using the ratio provided here, the average opening hours/day for the retail type, the lenght of visit and 40% figure.
</t>
        </r>
      </text>
    </comment>
    <comment ref="C46" authorId="0" shapeId="0" xr:uid="{00000000-0006-0000-0200-00006A010000}">
      <text>
        <r>
          <rPr>
            <sz val="8"/>
            <color indexed="81"/>
            <rFont val="Tahoma"/>
            <family val="2"/>
          </rPr>
          <t>Source: NCM activity database (11/08/10) for retail and financial/professional services.</t>
        </r>
      </text>
    </comment>
    <comment ref="R46" authorId="0" shapeId="0" xr:uid="{00000000-0006-0000-0200-00006B010000}">
      <text>
        <r>
          <rPr>
            <sz val="8"/>
            <color indexed="81"/>
            <rFont val="Tahoma"/>
            <family val="2"/>
          </rPr>
          <t xml:space="preserve">Usage is as per offices (for staff) i.e. 1.00. Source: Communities and Local Government Research to Assess the Costs and Benefits of Improvements to the Water Efficiency of New Non-household Buildings (Entec Oct 2009).
The staff ratio (calculated in the retail calculator) is applied to the usage factor (above) to give the ratio presented here.
</t>
        </r>
      </text>
    </comment>
    <comment ref="U46" authorId="0" shapeId="0" xr:uid="{00000000-0006-0000-0200-00006C010000}">
      <text>
        <r>
          <rPr>
            <sz val="8"/>
            <color indexed="81"/>
            <rFont val="Tahoma"/>
            <family val="2"/>
          </rPr>
          <t xml:space="preserve">One cycle accommodates 25 people i.e. 1/25=0.04 uses/person/day. Source: BD2683
The staff ratio (calculated in the retail calculator) is applied to the usage factor (above) to give the ratio presented here.
</t>
        </r>
      </text>
    </comment>
    <comment ref="AH46" authorId="0" shapeId="0" xr:uid="{00000000-0006-0000-0200-00006D010000}">
      <text>
        <r>
          <rPr>
            <sz val="8"/>
            <color indexed="81"/>
            <rFont val="Tahoma"/>
            <family val="2"/>
          </rPr>
          <t>Communities and Local Government Research to Assess the Costs and Benefits of Improvements to the Water Efficiency of New Non-household Buildings (BD2683) states a factor of 0.67 for offices in its example calculation.</t>
        </r>
      </text>
    </comment>
    <comment ref="C47" authorId="0" shapeId="0" xr:uid="{00000000-0006-0000-0200-00006E010000}">
      <text>
        <r>
          <rPr>
            <sz val="8"/>
            <color indexed="81"/>
            <rFont val="Tahoma"/>
            <family val="2"/>
          </rPr>
          <t>Note: this figure is use to calculated a default number of kitchen staff only.
An average restaurant has been modelled as having 25 employees serving 250 covers per day (Pacific Institute, 2003). For an office canteen/restaurant this figure is halved to 12.5 employees per 250 covers as it is assumed that office canteen/restaurants will not rely on a table service (as in a restaurant) and therefore will have less staff per cover as a result. Therefore, where there is a staff canteen/restaurant, the number of staff in that activity area is determined as follows:
An overall occupant density for seated dining areas of 0.331 persons/m2 is used (source: National Energy Calculation Methodology activity database) to determine the number of people seated in the dining area. A period of 11am-3pm is used as a default hours of use by the building's staff, whereby occupant density fluctuates respectively during those hours as follows: 0.25, 1.0, 1.0, 0.75 (source NCM activity database); resulting in an average occupant density of  0.248 covers/hr/m2.
This average multiplied by the 4 hour period gives a figure of 0.993 covers/m2. If there are 12.5 kitchen employees per 250 covers, then there are 0.05 employees/cover; therefore there are 0.0497 kitchen employees/m2 of seated dining area.</t>
        </r>
      </text>
    </comment>
    <comment ref="V47" authorId="0" shapeId="0" xr:uid="{00000000-0006-0000-0200-00006F010000}">
      <text>
        <r>
          <rPr>
            <sz val="8"/>
            <color indexed="81"/>
            <rFont val="Tahoma"/>
            <family val="2"/>
          </rPr>
          <t>It could be argued that there is likley to be a washing machine where there is a food preparation area, however, no data available for this component in this activity area. It is possible that it could be accounted for under the miscellaneous under food preparation (which is a fixed use).</t>
        </r>
      </text>
    </comment>
    <comment ref="Y47" authorId="0" shapeId="0" xr:uid="{00000000-0006-0000-0200-000070010000}">
      <text>
        <r>
          <rPr>
            <sz val="8"/>
            <color indexed="81"/>
            <rFont val="Tahoma"/>
            <family val="2"/>
          </rPr>
          <t>Units: litres/day
Fixed use for food preparation is based on a ‘standard’ restaurant. This ‘standard’ model gives details relating to a hotel with 25 staff serving 250 covers or meals per day, (source: BD2683 and sources contained therein), as follows:
0.33 kg of ice per meal
Food preparation sink: 113.4 litres (per day) / 250 covers = 0.4536 litres/cover
Food: 1.89 litres/cover
Total: 2.674 litres/cover
This figure is multiplied by 0.993 covers/m2 (see comment against occupant density for this building area for source of number) and the total area (m2) of the dining area to give the fixed use total here.
If there is no dining area, no figure is calculated.</t>
        </r>
      </text>
    </comment>
    <comment ref="Z47" authorId="0" shapeId="0" xr:uid="{00000000-0006-0000-0200-000071010000}">
      <text>
        <r>
          <rPr>
            <sz val="8"/>
            <color indexed="81"/>
            <rFont val="Arial"/>
            <family val="2"/>
          </rPr>
          <t>Units: litres/day
Fixed use for cleaning in a food preparation area is based on a ‘standard’ restaurant. This ‘standard’ model gives details relating to a hotel with 25 staff serving 250 covers or meals per day (Source: BD2683), as follows:
Pot and pan sink: 900 litres (3 x sinks filled with 150 litre capacity filled twice a day) / 250 covers = 3.6 litres/cover
Cleaning: 298.4 / 250 covers = 1.1936 litres/cover
Miscellaneous use: 378/250 = 1.52 litres/cover
Total: 6.314 litres/cover
This figure is multiplied by 0.993 covers/m2 (see comment against occupant density for this building area for source of number) and the total area (m2) of the dining area to give the fixed use total here.
If there is no dining area, no figure is calculated.</t>
        </r>
      </text>
    </comment>
    <comment ref="AI47" authorId="0" shapeId="0" xr:uid="{00000000-0006-0000-0200-000072010000}">
      <text>
        <r>
          <rPr>
            <b/>
            <sz val="8"/>
            <color indexed="81"/>
            <rFont val="Tahoma"/>
            <family val="2"/>
          </rPr>
          <t xml:space="preserve">Source: </t>
        </r>
        <r>
          <rPr>
            <sz val="8"/>
            <color indexed="81"/>
            <rFont val="Tahoma"/>
            <family val="2"/>
          </rPr>
          <t>washing up pre-rinse nozzles are used for 60 min per day (Pacific Institute, 2003; MWRA,1990)</t>
        </r>
        <r>
          <rPr>
            <sz val="8"/>
            <color indexed="81"/>
            <rFont val="Tahoma"/>
            <family val="2"/>
          </rPr>
          <t xml:space="preserve">
</t>
        </r>
      </text>
    </comment>
    <comment ref="AK47" authorId="0" shapeId="0" xr:uid="{00000000-0006-0000-0200-000073010000}">
      <text>
        <r>
          <rPr>
            <sz val="8"/>
            <color indexed="81"/>
            <rFont val="Tahoma"/>
            <family val="2"/>
          </rPr>
          <t>units: dishwasher cycle/m2
Communities and Local Government Research to Assess the Costs and Benefits of Improvements to the Water Efficiency of New Non-household Buildings (BD2683) states each customer produces half a dishwasher rack of washing up per visit. This is for standard restaurant use. For an office canteen, this has been halved again to one quarter rack per cover on the basis that only one course is served at lunchtime, so less crockery than for standard restaurant (where two or three courses are to be assumed).
An overall occupant density for seated dining areas of 0.331 persons/m2 is used (source: National Energy Calculation Methodology activity database) to determine the number of people seated in the restaurant. A period of 11am-3pm is used as a default hours of use by the building's staff, whereby occupant density fluctuates respectively during those hours as follows: 0.25, 1.0, 1.0, 0.75 (source NCM activity database); resulting in an average occupant density of  0.248 covers/hr/m2. This average multiplied by the 4 hour period gives a figure of 0.993 covers/m2/day.
Therefore: 0.993 covers/m2/day * 0.25 racks/cover = 0.248 cycles/m2 dining area/day</t>
        </r>
      </text>
    </comment>
    <comment ref="AM47" authorId="0" shapeId="0" xr:uid="{00000000-0006-0000-0200-000074010000}">
      <text>
        <r>
          <rPr>
            <b/>
            <sz val="8"/>
            <color indexed="81"/>
            <rFont val="Tahoma"/>
            <family val="2"/>
          </rPr>
          <t>Source:</t>
        </r>
        <r>
          <rPr>
            <sz val="8"/>
            <color indexed="81"/>
            <rFont val="Tahoma"/>
            <family val="2"/>
          </rPr>
          <t xml:space="preserve"> waste disposal devices run for 30 min per day (Pacific Institute, 2003; MWRA,1990)</t>
        </r>
        <r>
          <rPr>
            <sz val="8"/>
            <color indexed="81"/>
            <rFont val="Tahoma"/>
            <family val="2"/>
          </rPr>
          <t xml:space="preserve">
</t>
        </r>
      </text>
    </comment>
    <comment ref="C48" authorId="0" shapeId="0" xr:uid="{00000000-0006-0000-0200-000075010000}">
      <text>
        <r>
          <rPr>
            <sz val="8"/>
            <color indexed="81"/>
            <rFont val="Tahoma"/>
            <family val="2"/>
          </rPr>
          <t>Source: NCM activity database (11/08/10) for retail and financial/professional services.</t>
        </r>
      </text>
    </comment>
    <comment ref="C49" authorId="0" shapeId="0" xr:uid="{00000000-0006-0000-0200-000076010000}">
      <text>
        <r>
          <rPr>
            <sz val="8"/>
            <color indexed="81"/>
            <rFont val="Tahoma"/>
            <family val="2"/>
          </rPr>
          <t>Source: NCM activity database (11/08/10) for offices and workshop businesses.</t>
        </r>
      </text>
    </comment>
    <comment ref="V64" authorId="0" shapeId="0" xr:uid="{00000000-0006-0000-0200-000077010000}">
      <text>
        <r>
          <rPr>
            <b/>
            <sz val="8"/>
            <color indexed="81"/>
            <rFont val="Tahoma"/>
            <family val="2"/>
          </rPr>
          <t xml:space="preserve">Source: </t>
        </r>
        <r>
          <rPr>
            <sz val="8"/>
            <color indexed="81"/>
            <rFont val="Tahoma"/>
            <family val="2"/>
          </rPr>
          <t>Redlin and de Roos, 1990, in Pacific Institute, 2003</t>
        </r>
        <r>
          <rPr>
            <sz val="8"/>
            <color indexed="81"/>
            <rFont val="Tahoma"/>
            <family val="2"/>
          </rPr>
          <t xml:space="preserve">
</t>
        </r>
      </text>
    </comment>
    <comment ref="C65" authorId="0" shapeId="0" xr:uid="{00000000-0006-0000-0200-000078010000}">
      <text>
        <r>
          <rPr>
            <b/>
            <sz val="8"/>
            <color indexed="81"/>
            <rFont val="Tahoma"/>
            <family val="2"/>
          </rPr>
          <t>Source:</t>
        </r>
        <r>
          <rPr>
            <sz val="8"/>
            <color indexed="81"/>
            <rFont val="Tahoma"/>
            <family val="2"/>
          </rPr>
          <t xml:space="preserve"> Arup Economics and Planning, 2001 = one employee per two rooms, therefore, 0.5 employees per room</t>
        </r>
        <r>
          <rPr>
            <b/>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Tim Bevan</author>
    <author>Bevan</author>
  </authors>
  <commentList>
    <comment ref="B28" authorId="0" shapeId="0" xr:uid="{00000000-0006-0000-0600-000001000000}">
      <text>
        <r>
          <rPr>
            <sz val="10"/>
            <color indexed="81"/>
            <rFont val="Tahoma"/>
            <family val="2"/>
          </rPr>
          <t>Includes standard automatic (timed) flush or infrared occupant sensing system linked to a cistern which flushes one or more urinal bowls.</t>
        </r>
        <r>
          <rPr>
            <sz val="8"/>
            <color indexed="81"/>
            <rFont val="Tahoma"/>
            <family val="2"/>
          </rPr>
          <t xml:space="preserve">
</t>
        </r>
      </text>
    </comment>
    <comment ref="F28" authorId="1" shapeId="0" xr:uid="{00000000-0006-0000-0600-000002000000}">
      <text>
        <r>
          <rPr>
            <sz val="10"/>
            <color indexed="81"/>
            <rFont val="Tahoma"/>
            <family val="2"/>
          </rPr>
          <t>Enter the number of times that the specified cistern will flush per hour (assuming the default period of operation for this building type, given above).
Where infrared sensing flushing control or some form of mechanical flush control is specified, the frequency must be based on the pre-set flushing frequency (confirmed by the design team or building's end user). 
Alternatively, the flush controllers factory default setting or a default figure necessary to maintain compliance with the Water Supply (Water Fittings) Regulations can be used, as follows: 
7.5 litres/hour/bowl where cistern serves two or more urinal bowls. Or
10 litres/hour/bowl where cistern serves only one urinal bowl.
Where urinals are likely to go longer than 30 minutes without flushing after use it should be confirmed that the urinals bowls are of a type designed for low flushing frequency. 
This is to avoid standard urinals being specified and the flushing frequency being set low to reduce water demand; this can cause hygienic problems and unnecessary maintenance (avoided through proper specification and system set-up).</t>
        </r>
      </text>
    </comment>
    <comment ref="B31" authorId="0" shapeId="0" xr:uid="{00000000-0006-0000-0600-000003000000}">
      <text>
        <r>
          <rPr>
            <sz val="10"/>
            <color indexed="81"/>
            <rFont val="Tahoma"/>
            <family val="2"/>
          </rPr>
          <t xml:space="preserve">i.e. bush button or infrared detection on each urinal bowl operated after use.
</t>
        </r>
      </text>
    </comment>
    <comment ref="D39" authorId="0" shapeId="0" xr:uid="{00000000-0006-0000-0600-000004000000}">
      <text>
        <r>
          <rPr>
            <sz val="10"/>
            <color indexed="81"/>
            <rFont val="Tahoma"/>
            <family val="2"/>
          </rPr>
          <t>Enter the full flow rate in litres per minute measured at a dynamic pressure of 3±0.2 bar (0.3±0.02 MPa) for high pressure (Type 1) taps, or at a dynamic pressure of 0.1±0.02 bar (0.01±0.002 MPa) for low pressure (Type 2) taps (BS EN 200:2008, sanitary tapware, single taps and combination taps for supply systems of type 1 and 2. General technical specifications) including any reductions achieved with flow restrictions.
The calculation will make an adjustment of two-thirds maximum flow rate to account for the fact that taps will not to be run at full volume.
Where the specified taps have a break point at the mid range of the flow (often referred to as 'click taps' or two stage mixer taps), the flow rate should be taken as the maximum flow rate quoted by the manufacturer of the lower range before the water break. This is typically 50 per cent of the flow rate, however this should not be assumed and manufacturer’s information must always be used.</t>
        </r>
        <r>
          <rPr>
            <sz val="8"/>
            <color indexed="81"/>
            <rFont val="Tahoma"/>
            <family val="2"/>
          </rPr>
          <t xml:space="preserve">
</t>
        </r>
      </text>
    </comment>
    <comment ref="D40" authorId="0" shapeId="0" xr:uid="{00000000-0006-0000-0600-000005000000}">
      <text>
        <r>
          <rPr>
            <sz val="10"/>
            <color indexed="81"/>
            <rFont val="Tahoma"/>
            <family val="2"/>
          </rPr>
          <t>Enter the flow rate of the shower at the outlet using cold water (T ≤ 30˚ C), in litres per minute measured at a dynamic pressure of 3±0.2 bar (0.3±0.02 MPa) for high pressure (Type 1) supply systems, or at a dynamic pressure of 0.1±0.05 bar (0.01±0.005 MPa) for low pressure (Type 2) supply systems (BS EN 1112:2008, Sanitary tapware. Shower outlets for sanitary tapware for water supply systems type 1 and 2. General technical specifications).Kitchen taps (maximum flow rate litres/min).
Where a shower head delivers a range of flow rates, the average or typical flow rate should be used.</t>
        </r>
        <r>
          <rPr>
            <sz val="8"/>
            <color indexed="81"/>
            <rFont val="Tahoma"/>
            <family val="2"/>
          </rPr>
          <t xml:space="preserve">
</t>
        </r>
        <r>
          <rPr>
            <sz val="10"/>
            <color indexed="81"/>
            <rFont val="Tahoma"/>
            <family val="2"/>
          </rPr>
          <t>Where a fitness/suite gym is specified, the default usage/person/day will adjust to account for shower use from this facility, this is in addition to the general default resulting from use of showers by cyclists.</t>
        </r>
      </text>
    </comment>
    <comment ref="D41" authorId="0" shapeId="0" xr:uid="{00000000-0006-0000-0600-000006000000}">
      <text>
        <r>
          <rPr>
            <sz val="10"/>
            <color indexed="81"/>
            <rFont val="Tahoma"/>
            <family val="2"/>
          </rPr>
          <t>Enter the flow rate of the shower at the outlet using cold water (T ≤ 30˚ C), in litres per minute measured at a dynamic pressure of 3±0.2 bar (0.3±0.02 MPa) for high pressure (Type 1) supply systems, or at a dynamic pressure of 0.1±0.05 bar (0.01±0.005 MPa) for low pressure (Type 2) supply systems (BS EN 1112:2008, Sanitary tapware. Shower outlets for sanitary tapware for water supply systems type 1 and 2. General technical specifications).Kitchen taps (maximum flow rate litres/min).
Where a shower head delivers a range of flow rates, the average or typical flow rate should be used.</t>
        </r>
        <r>
          <rPr>
            <sz val="8"/>
            <color indexed="81"/>
            <rFont val="Tahoma"/>
            <family val="2"/>
          </rPr>
          <t xml:space="preserve">
</t>
        </r>
      </text>
    </comment>
    <comment ref="D42" authorId="0" shapeId="0" xr:uid="{00000000-0006-0000-0600-000007000000}">
      <text>
        <r>
          <rPr>
            <sz val="10"/>
            <color indexed="81"/>
            <rFont val="Tahoma"/>
            <family val="2"/>
          </rPr>
          <t>Enter the bath capacity to overflow. The calculation will use 40% of this volume for consumption. This is to reflect that a) users tend not to fill the bath to overflow and b) the buoyancy affect the user has on the actual volume of water required for a bath.</t>
        </r>
      </text>
    </comment>
    <comment ref="D43" authorId="0" shapeId="0" xr:uid="{00000000-0006-0000-0600-000008000000}">
      <text>
        <r>
          <rPr>
            <sz val="10"/>
            <color indexed="81"/>
            <rFont val="Tahoma"/>
            <family val="2"/>
          </rPr>
          <t>Enter the bath capacity to overflow. The calculation will use 40% of this volume for consumption. This is to reflect that a) users tend not to fill the bath to overflow and b) the buoyancy affect the user has on the actual volume of water required for a bath.</t>
        </r>
        <r>
          <rPr>
            <sz val="8"/>
            <color indexed="81"/>
            <rFont val="Tahoma"/>
            <family val="2"/>
          </rPr>
          <t xml:space="preserve">
</t>
        </r>
      </text>
    </comment>
    <comment ref="B44" authorId="0" shapeId="0" xr:uid="{00000000-0006-0000-0600-000009000000}">
      <text>
        <r>
          <rPr>
            <sz val="10"/>
            <color indexed="81"/>
            <rFont val="Tahoma"/>
            <family val="2"/>
          </rPr>
          <t xml:space="preserve">This fixed use is drinking water consumed by staff.
Where a fitness suite/gym is also present, an allowance is made for the additional water consumed resulting from the provision of this facility on a per person basis for the whole building (hence why the additional amount is minor, as not all staff will use the facility).
</t>
        </r>
      </text>
    </comment>
    <comment ref="B45" authorId="0" shapeId="0" xr:uid="{00000000-0006-0000-0600-00000A000000}">
      <text>
        <r>
          <rPr>
            <sz val="10"/>
            <color indexed="81"/>
            <rFont val="Tahoma"/>
            <family val="2"/>
          </rPr>
          <t>This accounts for water consumption, and therefore efficiency of components used for cleaning, e.g. utensils, crockery etc., in staff kitchenette areas.
If this activity area does not exist in the building, then do not enter data in the relevant cells.</t>
        </r>
      </text>
    </comment>
    <comment ref="D46" authorId="0" shapeId="0" xr:uid="{00000000-0006-0000-0600-00000B000000}">
      <text>
        <r>
          <rPr>
            <sz val="10"/>
            <color indexed="81"/>
            <rFont val="Tahoma"/>
            <family val="2"/>
          </rPr>
          <t>Enter the full flow rate in litres per minute measured at a dynamic pressure of 3±0.2 bar (0.3±0.02 MPa) for high pressure (Type 1) taps, or at a dynamic pressure of 0.1±0.02 bar (0.01±0.002 MPa) for low pressure (Type 2) taps (BS EN 200:2008, sanitary tapware, single taps and combination taps for supply systems of type 1 and 2. General technical specifications) including any reductions achieved with flow restrictions.
The calculation will make an adjustment of two-thirds maximum flow rate to account for the fact that taps will not to be run at full volume.
Where the specified taps have a break point at the mid range of the flow (often referred to as 'click taps' or two stage mixer taps), the flow rate should be taken as the maximum flow rate quoted by the manufacturer of the lower range before the water break. This is typically 50 per cent of the flow rate, however this should not be assumed and manufacturer’s information must always be used.</t>
        </r>
      </text>
    </comment>
    <comment ref="D47" authorId="0" shapeId="0" xr:uid="{00000000-0006-0000-0600-00000C000000}">
      <text>
        <r>
          <rPr>
            <sz val="10"/>
            <color indexed="81"/>
            <rFont val="Tahoma"/>
            <family val="2"/>
          </rPr>
          <t xml:space="preserve">Dishwashers in staff kitchen area(s). Requires inclusion only where it is known that a dishwasher will be installed, as follows:
</t>
        </r>
        <r>
          <rPr>
            <b/>
            <sz val="10"/>
            <color indexed="81"/>
            <rFont val="Tahoma"/>
            <family val="2"/>
          </rPr>
          <t>Building end user/client known</t>
        </r>
        <r>
          <rPr>
            <sz val="10"/>
            <color indexed="81"/>
            <rFont val="Tahoma"/>
            <family val="2"/>
          </rPr>
          <t xml:space="preserve">: The stakeholder confirms whether this component will be installed, where this is the case they must confirm intended specification which is then entered in the calculation. Where installation is confirmed, but litres/cycle for the dishwasher is not known/confirmed, then assume a default of 17 litres/cycle setting for the purpose of the calculation.
</t>
        </r>
        <r>
          <rPr>
            <b/>
            <sz val="10"/>
            <color indexed="81"/>
            <rFont val="Tahoma"/>
            <family val="2"/>
          </rPr>
          <t>Building/end user not known</t>
        </r>
        <r>
          <rPr>
            <sz val="10"/>
            <color indexed="81"/>
            <rFont val="Tahoma"/>
            <family val="2"/>
          </rPr>
          <t>: The specification is determined on the basis of whether or not provision is made within the activity area for future installation i.e. dedicated fittings plumbed for water supply and waste extraction. Where this is the case, if a maximum allowable specification is not specified within a lease agreement (for a tenanted area), then assume a default of 17 litres/cycle for the purpose of the calculation. Where no provision is made for the future installation of this component type, then it can be assumed that it will not be specified (for BREEAM purposes) and a specification not entered within the calculation.</t>
        </r>
        <r>
          <rPr>
            <sz val="8"/>
            <color indexed="81"/>
            <rFont val="Tahoma"/>
            <family val="2"/>
          </rPr>
          <t xml:space="preserve">
</t>
        </r>
        <r>
          <rPr>
            <sz val="10"/>
            <color indexed="81"/>
            <rFont val="Tahoma"/>
            <family val="2"/>
          </rPr>
          <t xml:space="preserve">
Where manufacturers data specifies dishwasher water efficiency in litres/place setting, simply multiply this figure by the number of place settings the dishwasher is designed to accommodate per wash cycle to get the litres/cycle (water consumption) for the purpose of this calculation.</t>
        </r>
      </text>
    </comment>
    <comment ref="D49" authorId="0" shapeId="0" xr:uid="{00000000-0006-0000-0600-00000D000000}">
      <text>
        <r>
          <rPr>
            <sz val="10"/>
            <color indexed="81"/>
            <rFont val="Tahoma"/>
            <family val="2"/>
          </rPr>
          <t>Enter the full flow rate in litres per minute measured at a dynamic pressure of 3±0.2 bar (0.3±0.02 MPa) for high pressure (Type 1) taps, or at a dynamic pressure of 0.1±0.02 bar (0.01±0.002 MPa) for low pressure (Type 2) taps (BS EN 200:2008, sanitary tapware, single taps and combination taps for supply systems of type 1 and 2. General technical specifications) including any reductions achieved with flow restrictions.
The calculation assumes the component will be used at this maximum given the type of use i.e. no adjustment is made as per wash hand basin taps.</t>
        </r>
      </text>
    </comment>
    <comment ref="D50" authorId="0" shapeId="0" xr:uid="{00000000-0006-0000-0600-00000E000000}">
      <text>
        <r>
          <rPr>
            <sz val="10"/>
            <color indexed="81"/>
            <rFont val="Tahoma"/>
            <family val="2"/>
          </rPr>
          <t>Usage factor for this component is based on a commercial dishwasher component. 
The default usage is set at quarter a rack of crockery per cover i.e. meal served. The number of covers is determined based on size of seated dining area.</t>
        </r>
      </text>
    </comment>
    <comment ref="G101" authorId="0" shapeId="0" xr:uid="{00000000-0006-0000-0600-00000F000000}">
      <text>
        <r>
          <rPr>
            <sz val="10"/>
            <color indexed="81"/>
            <rFont val="Tahoma"/>
            <family val="2"/>
          </rPr>
          <t xml:space="preserve">The focus of this BREEAM issue is the performance of the buildings permanent domestic water consuming components. Where a greywater or rainwater system is specified, the yield from the system should be prioritised for such uses i.e. WC/Urinal flushing. However, where the building demonstrates that it has other consistent (i.e. daily) and equivalent levels of non potable water demand, and such demands are intrinsic to the building’s operation, then it is permissible for the demand from these non domestic uses to be counted i.e. the demand for rainwater/greywater yield from such systems/components can be used as well as, or instead of non potable water demand from the buildings WC/Urinal components. 
Examples of consistent and equivalent demands could include laundry use in hotels/multi-residential developments or horticultural uses in garden centres, botanical gardens and golf courses. Demand for general landscaping and ornamental planting irrigation are not considered equivalent by BREEAM.
</t>
        </r>
      </text>
    </comment>
    <comment ref="G103" authorId="0" shapeId="0" xr:uid="{00000000-0006-0000-0600-000010000000}">
      <text>
        <r>
          <rPr>
            <sz val="10"/>
            <color indexed="81"/>
            <rFont val="Tahoma"/>
            <family val="2"/>
          </rPr>
          <t>Where other permissible components are the only components to demand greywater and/or rainwater yield then the figure here is equivalent to the total greywater and/or rainwater yield calculated using this methodology, but converted in to Litres/day from Litres/person/day. The conversion is to enable a comparison with the components actual/predicted water demand to determine the proportion of the yield that the component is likely to use.
Where other permissible components demand greywater and/or rainwater yield in addition to demand from WC and/or urinals, the figure here is the sum of the total rainwater and/or greywater yield  minus the demand from WC/urinal components. If the WC/urinal components already demand 100% of the yield then the figure here will be zero i.e. none of the yield is available to meet the other demand.
Note: Even though in reality the actual building's other permissible components may use greywater and/or rainwater yield, if the available yield (as calculated by this methodology, using a default occupancy rate) is less than or equal to the demand from the WC/urinal components, then 100% of the yield will be attributed to that demand leaving zero yield for other uses.</t>
        </r>
      </text>
    </comment>
    <comment ref="F120" authorId="0" shapeId="0" xr:uid="{00000000-0006-0000-0600-000011000000}">
      <text>
        <r>
          <rPr>
            <sz val="10"/>
            <color indexed="81"/>
            <rFont val="Tahoma"/>
            <family val="2"/>
          </rPr>
          <t xml:space="preserve">Where greywater and/or rainwater systems are specified there is a minimum level of component efficiency that must be achieved to award 4 or 5 BREEAM credits and the exemplary level credit. This is to avoid awarding a higher number of BREEAM credits where performance from less efficient fittings is off-set by the specification of a greywater and/or rainwater collection system. The intention being to ensure demand reduction is prioritised before off-setting consumption.
For the four and five BREEAM credit levels, where a greywater/rainwater system is specified/installed, the component specification must achieve a percentage reduction in water consumption (over the baseline specification) equivalent to that required for 2 credits i.e. a 25% improvement. 
Where this level is achieved, all of the total water demand met by greywater/rainwater sources can contribute to the overall percentage improvement required to achieve BREEAM credits. If it is not achieved, the percentage of greywater/rainwater allowable will be equivalent to the percentage improvement in water consumption achieved for the component specification (i.e. percentage improvement on the baseline specification). For example, if only a 20% improvement is achieved, and therefore the building is not meeting the 25% requirement, then only 20% of the water demand met via greywater/rainwater sources can be used to off-set water consumption from the microcomponents. 
This minimum requirement does not apply where only 1, 2 or 3 credits are sought or where no greywater/rainwater system is specified i.e. percentage improvement is based solely on the water efficiency of the microcomponent specification. Where this is the case, this box will state either "Not applicable" or "System not specified".
</t>
        </r>
      </text>
    </comment>
    <comment ref="O137" authorId="0" shapeId="0" xr:uid="{00000000-0006-0000-0600-000012000000}">
      <text>
        <r>
          <rPr>
            <sz val="8"/>
            <color indexed="81"/>
            <rFont val="Tahoma"/>
            <family val="2"/>
          </rPr>
          <t>See activity database note for reason why this is zero</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Tim Bevan</author>
    <author>Bevan</author>
  </authors>
  <commentList>
    <comment ref="B34" authorId="0" shapeId="0" xr:uid="{00000000-0006-0000-0700-000001000000}">
      <text>
        <r>
          <rPr>
            <sz val="10"/>
            <color indexed="81"/>
            <rFont val="Tahoma"/>
            <family val="2"/>
          </rPr>
          <t>Includes standard automatic (timed) flush or infrared occupant sensing system linked to a cistern which flushes one or more urinal bowls.</t>
        </r>
        <r>
          <rPr>
            <sz val="8"/>
            <color indexed="81"/>
            <rFont val="Tahoma"/>
            <family val="2"/>
          </rPr>
          <t xml:space="preserve">
</t>
        </r>
      </text>
    </comment>
    <comment ref="F34" authorId="1" shapeId="0" xr:uid="{00000000-0006-0000-0700-000002000000}">
      <text>
        <r>
          <rPr>
            <sz val="10"/>
            <color indexed="81"/>
            <rFont val="Tahoma"/>
            <family val="2"/>
          </rPr>
          <t>Enter the number of times that the specified cistern will flush per hour (assuming the default period of operation for this building type, given above).
Where infrared sensing flushing control or some form of mechanical flush control is specified, the frequency must be based on the pre-set flushing frequency (confirmed by the design team or building's end user). 
Alternatively, the flush controllers factory default setting or a default figure necessary to maintain compliance with the Water Supply (Water Fittings) Regulations can be used, as follows: 
7.5 litres/hour/bowl where cistern serves two or more urinal bowls. Or
10 litres/hour/bowl where cistern serves only one urinal bowl.
Where urinals are likely to go longer than 30 minutes without flushing after use it should be confirmed that the urinals bowls are of a type designed for low flushing frequency. 
This is to avoid standard urinals being specified and the flushing frequency being set low to reduce water demand; this can cause hygienic problems and unnecessary maintenance (avoided through proper specification and system set-up).</t>
        </r>
      </text>
    </comment>
    <comment ref="B37" authorId="0" shapeId="0" xr:uid="{00000000-0006-0000-0700-000003000000}">
      <text>
        <r>
          <rPr>
            <sz val="10"/>
            <color indexed="81"/>
            <rFont val="Tahoma"/>
            <family val="2"/>
          </rPr>
          <t xml:space="preserve">i.e. bush button or infrared detection on each urinal bowl operated after use.
</t>
        </r>
      </text>
    </comment>
    <comment ref="D45" authorId="0" shapeId="0" xr:uid="{00000000-0006-0000-0700-000004000000}">
      <text>
        <r>
          <rPr>
            <sz val="10"/>
            <color indexed="81"/>
            <rFont val="Tahoma"/>
            <family val="2"/>
          </rPr>
          <t>Enter the full flow rate in litres per minute measured at a dynamic pressure of 3±0.2 bar (0.3±0.02 MPa) for high pressure (Type 1) taps, or at a dynamic pressure of 0.1±0.02 bar (0.01±0.002 MPa) for low pressure (Type 2) taps (BS EN 200:2008, sanitary tapware, single taps and combination taps for supply systems of type 1 and 2. General technical specifications) including any reductions achieved with flow restrictions.
The calculation will make an adjustment of two-thirds maximum flow rate to account for the fact that taps will not to be run at full volume.
Where the specified taps have a break point at the mid range of the flow (often referred to as 'click taps' or two stage mixer taps), the flow rate should be taken as the maximum flow rate quoted by the manufacturer of the lower range before the water break. This is typically 50 per cent of the flow rate, however this should not be assumed and manufacturer’s information must always be used.</t>
        </r>
        <r>
          <rPr>
            <sz val="8"/>
            <color indexed="81"/>
            <rFont val="Tahoma"/>
            <family val="2"/>
          </rPr>
          <t xml:space="preserve">
</t>
        </r>
      </text>
    </comment>
    <comment ref="D46" authorId="0" shapeId="0" xr:uid="{00000000-0006-0000-0700-000005000000}">
      <text>
        <r>
          <rPr>
            <sz val="10"/>
            <color indexed="81"/>
            <rFont val="Tahoma"/>
            <family val="2"/>
          </rPr>
          <t>Enter the flow rate of the shower at the outlet using cold water (T ≤ 30˚ C), in litres per minute measured at a dynamic pressure of 3±0.2 bar (0.3±0.02 MPa) for high pressure (Type 1) supply systems, or at a dynamic pressure of 0.1±0.05 bar (0.01±0.005 MPa) for low pressure (Type 2) supply systems (BS EN 1112:2008, Sanitary tapware. Shower outlets for sanitary tapware for water supply systems type 1 and 2. General technical specifications).Kitchen taps (maximum flow rate litres/min).
Where a shower head delivers a range of flow rates, the average or typical flow rate should be used.</t>
        </r>
        <r>
          <rPr>
            <sz val="8"/>
            <color indexed="81"/>
            <rFont val="Tahoma"/>
            <family val="2"/>
          </rPr>
          <t xml:space="preserve">
</t>
        </r>
        <r>
          <rPr>
            <sz val="10"/>
            <color indexed="81"/>
            <rFont val="Tahoma"/>
            <family val="2"/>
          </rPr>
          <t>Where a fitness/suite gym is specified, the default usage/person/day will adjust to account for shower use from this facility, this is in addition to the general default resulting from use of showers by cyclists.</t>
        </r>
      </text>
    </comment>
    <comment ref="D47" authorId="0" shapeId="0" xr:uid="{00000000-0006-0000-0700-000006000000}">
      <text>
        <r>
          <rPr>
            <sz val="10"/>
            <color indexed="81"/>
            <rFont val="Tahoma"/>
            <family val="2"/>
          </rPr>
          <t>Enter the flow rate of the shower at the outlet using cold water (T ≤ 30˚ C), in litres per minute measured at a dynamic pressure of 3±0.2 bar (0.3±0.02 MPa) for high pressure (Type 1) supply systems, or at a dynamic pressure of 0.1±0.05 bar (0.01±0.005 MPa) for low pressure (Type 2) supply systems (BS EN 1112:2008, Sanitary tapware. Shower outlets for sanitary tapware for water supply systems type 1 and 2. General technical specifications).Kitchen taps (maximum flow rate litres/min).
Where a shower head delivers a range of flow rates, the average or typical flow rate should be used.</t>
        </r>
        <r>
          <rPr>
            <sz val="8"/>
            <color indexed="81"/>
            <rFont val="Tahoma"/>
            <family val="2"/>
          </rPr>
          <t xml:space="preserve">
</t>
        </r>
      </text>
    </comment>
    <comment ref="D48" authorId="0" shapeId="0" xr:uid="{00000000-0006-0000-0700-000007000000}">
      <text>
        <r>
          <rPr>
            <sz val="10"/>
            <color indexed="81"/>
            <rFont val="Tahoma"/>
            <family val="2"/>
          </rPr>
          <t>Enter the bath capacity to overflow. The calculation will use 40% of this volume for consumption. This is to reflect that a) users tend not to fill the bath to overflow and b) the buoyancy affect the user has on the actual volume of water required for a bath.</t>
        </r>
      </text>
    </comment>
    <comment ref="D49" authorId="0" shapeId="0" xr:uid="{00000000-0006-0000-0700-000008000000}">
      <text>
        <r>
          <rPr>
            <sz val="10"/>
            <color indexed="81"/>
            <rFont val="Tahoma"/>
            <family val="2"/>
          </rPr>
          <t>Enter the bath capacity to overflow. The calculation will use 40% of this volume for consumption. This is to reflect that a) users tend not to fill the bath to overflow and b) the buoyancy affect the user has on the actual volume of water required for a bath.</t>
        </r>
        <r>
          <rPr>
            <sz val="8"/>
            <color indexed="81"/>
            <rFont val="Tahoma"/>
            <family val="2"/>
          </rPr>
          <t xml:space="preserve">
</t>
        </r>
      </text>
    </comment>
    <comment ref="B50" authorId="0" shapeId="0" xr:uid="{00000000-0006-0000-0700-000009000000}">
      <text>
        <r>
          <rPr>
            <sz val="10"/>
            <color indexed="81"/>
            <rFont val="Tahoma"/>
            <family val="2"/>
          </rPr>
          <t>Only includes the fixed use consumed by staff, though the overall figure is litre/person/day, so is the consumption is divided by total number of building users (staff and customers).
This total is fixed for both the actual specification and the standard specification, therefore the consumption from this use does not influence the achievement of BREEAM credits. It is included simply to give a more accurate reflection of the total water consumption for the building.</t>
        </r>
      </text>
    </comment>
    <comment ref="B51" authorId="0" shapeId="0" xr:uid="{00000000-0006-0000-0700-00000A000000}">
      <text>
        <r>
          <rPr>
            <sz val="10"/>
            <color indexed="81"/>
            <rFont val="Tahoma"/>
            <family val="2"/>
          </rPr>
          <t>This accounts for water consumption, and therefore efficiency of components used for cleaning, e.g. utensils, crockery etc., in staff kitchenette areas.
If this activity area does not exist in the building, then do not enter data in the relevant cells.</t>
        </r>
      </text>
    </comment>
    <comment ref="D52" authorId="0" shapeId="0" xr:uid="{00000000-0006-0000-0700-00000B000000}">
      <text>
        <r>
          <rPr>
            <sz val="10"/>
            <color indexed="81"/>
            <rFont val="Tahoma"/>
            <family val="2"/>
          </rPr>
          <t>Enter the full flow rate in litres per minute measured at a dynamic pressure of 3±0.2 bar (0.3±0.02 MPa) for high pressure (Type 1) taps, or at a dynamic pressure of 0.1±0.02 bar (0.01±0.002 MPa) for low pressure (Type 2) taps (BS EN 200:2008, sanitary tapware, single taps and combination taps for supply systems of type 1 and 2. General technical specifications) including any reductions achieved with flow restrictions.
The calculation will make an adjustment of two-thirds maximum flow rate to account for the fact that taps will not to be run at full volume.
Where the specified taps have a break point at the mid range of the flow (often referred to as 'click taps' or two stage mixer taps), the flow rate should be taken as the maximum flow rate quoted by the manufacturer of the lower range before the water break. This is typically 50 per cent of the flow rate, however this should not be assumed and manufacturer’s information must always be used.</t>
        </r>
      </text>
    </comment>
    <comment ref="D53" authorId="0" shapeId="0" xr:uid="{00000000-0006-0000-0700-00000C000000}">
      <text>
        <r>
          <rPr>
            <sz val="10"/>
            <color indexed="81"/>
            <rFont val="Tahoma"/>
            <family val="2"/>
          </rPr>
          <t xml:space="preserve">Dishwashers in staff kitchen area(s). Requires inclusion only where it is known that a dishwasher will be installed, as follows:
</t>
        </r>
        <r>
          <rPr>
            <b/>
            <sz val="10"/>
            <color indexed="81"/>
            <rFont val="Tahoma"/>
            <family val="2"/>
          </rPr>
          <t>Building end user/client known</t>
        </r>
        <r>
          <rPr>
            <sz val="10"/>
            <color indexed="81"/>
            <rFont val="Tahoma"/>
            <family val="2"/>
          </rPr>
          <t xml:space="preserve">: The stakeholder confirms whether this component will be installed, where this is the case they must confirm intended specification which is then entered in the calculation. Where installation is confirmed, but litres/cycle for the dishwasher is not known/confirmed, then assume a default of 17 litres/cycle setting for the purpose of the calculation.
</t>
        </r>
        <r>
          <rPr>
            <b/>
            <sz val="10"/>
            <color indexed="81"/>
            <rFont val="Tahoma"/>
            <family val="2"/>
          </rPr>
          <t>Building/end user not known</t>
        </r>
        <r>
          <rPr>
            <sz val="10"/>
            <color indexed="81"/>
            <rFont val="Tahoma"/>
            <family val="2"/>
          </rPr>
          <t>: The specification is determined on the basis of whether or not provision is made within the activity area for future installation i.e. dedicated fittings plumbed for water supply and waste extraction. Where this is the case, if a maximum allowable specification is not specified within a lease agreement (for a tenanted area), then assume a default of 17 litres/cycle for the purpose of the calculation. Where no provision is made for the future installation of this component type, then it can be assumed that it will not be specified (for BREEAM purposes) and a specification not entered within the calculation.</t>
        </r>
        <r>
          <rPr>
            <sz val="8"/>
            <color indexed="81"/>
            <rFont val="Tahoma"/>
            <family val="2"/>
          </rPr>
          <t xml:space="preserve">
</t>
        </r>
        <r>
          <rPr>
            <sz val="10"/>
            <color indexed="81"/>
            <rFont val="Tahoma"/>
            <family val="2"/>
          </rPr>
          <t xml:space="preserve">
Where manufacturers data specifies dishwasher water efficiency in litres/place setting, simply multiply this figure by the number of place settings the dishwasher is designed to accommodate per wash cycle to get the litres/cycle (water consumption) for the purpose of this calculation.</t>
        </r>
      </text>
    </comment>
    <comment ref="D55" authorId="0" shapeId="0" xr:uid="{00000000-0006-0000-0700-00000D000000}">
      <text>
        <r>
          <rPr>
            <sz val="10"/>
            <color indexed="81"/>
            <rFont val="Tahoma"/>
            <family val="2"/>
          </rPr>
          <t>Enter the full flow rate in litres per minute measured at a dynamic pressure of 3±0.2 bar (0.3±0.02 MPa) for high pressure (Type 1) taps, or at a dynamic pressure of 0.1±0.02 bar (0.01±0.002 MPa) for low pressure (Type 2) taps (BS EN 200:2008, sanitary tapware, single taps and combination taps for supply systems of type 1 and 2. General technical specifications) including any reductions achieved with flow restrictions.
The calculation assumes the component will be used at this maximum given the type of use i.e. no adjustment is made as per wash hand basin taps.</t>
        </r>
      </text>
    </comment>
    <comment ref="D56" authorId="0" shapeId="0" xr:uid="{00000000-0006-0000-0700-00000E000000}">
      <text>
        <r>
          <rPr>
            <sz val="10"/>
            <color indexed="81"/>
            <rFont val="Tahoma"/>
            <family val="2"/>
          </rPr>
          <t>Usage factor for this component is based on a commercial dishwasher component. 
The default usage is set at quarter a rack of crockery per cover i.e. meal served. The number of covers is determined based on size of seated dining area.</t>
        </r>
      </text>
    </comment>
    <comment ref="G107" authorId="0" shapeId="0" xr:uid="{00000000-0006-0000-0700-00000F000000}">
      <text>
        <r>
          <rPr>
            <sz val="10"/>
            <color indexed="81"/>
            <rFont val="Tahoma"/>
            <family val="2"/>
          </rPr>
          <t xml:space="preserve">The focus of this BREEAM issue is the performance of the buildings permanent domestic water consuming components. Where a greywater or rainwater system is specified, the yield from the system should be prioritised for such uses i.e. WC/Urinal flushing. However, where the building demonstrates that it has other consistent (i.e. daily) and equivalent levels of non potable water demand, and such demands are intrinsic to the building’s operation, then it is permissible for the demand from these non domestic uses to be counted i.e. the demand for rainwater/greywater yield from such systems/components can be used as well as, or instead of non potable water demand from the buildings WC/Urinal components. 
Examples of consistent and equivalent demands could include laundry use in hotels/multi-residential developments or horticultural uses in garden centres, botanical gardens and golf courses. Demand for general landscaping and ornamental planting irrigation are not considered equivalent by BREEAM.
</t>
        </r>
      </text>
    </comment>
    <comment ref="G109" authorId="0" shapeId="0" xr:uid="{00000000-0006-0000-0700-000010000000}">
      <text>
        <r>
          <rPr>
            <sz val="10"/>
            <color indexed="81"/>
            <rFont val="Tahoma"/>
            <family val="2"/>
          </rPr>
          <t>Where other permissible components are the only components to demand greywater and/or rainwater yield then the figure here is equivalent to the total greywater and/or rainwater yield calculated using this methodology, but converted in to Litres/day from Litres/person/day. The conversion is to enable a comparison with the components actual/predicted water demand to determine the proportion of the yield that the component is likely to use.
Where other permissible components demand greywater and/or rainwater yield in addition to demand from WC and/or urinals, the figure here is the sum of the total rainwater and/or greywater yield  minus the demand from WC/urinal components. If the WC/urinal components already demand 100% of the yield then the figure here will be zero i.e. none of the yield is available to meet the other demand.
Note: Even though in reality the actual building's other permissible components may use greywater and/or rainwater yield, if the available yield (as calculated by this methodology, using a default occupancy rate) is less than or equal to the demand from the WC/urinal components, then 100% of the yield will be attributed to that demand leaving zero yield for other uses.</t>
        </r>
      </text>
    </comment>
    <comment ref="F126" authorId="0" shapeId="0" xr:uid="{00000000-0006-0000-0700-000011000000}">
      <text>
        <r>
          <rPr>
            <sz val="10"/>
            <color indexed="81"/>
            <rFont val="Tahoma"/>
            <family val="2"/>
          </rPr>
          <t xml:space="preserve">Where greywater and/or rainwater systems are specified there is a minimum level of component efficiency that must be achieved to award 4 or 5 BREEAM credits and the exemplary level credit. This is to avoid awarding a higher number of BREEAM credits where performance from less efficient fittings is off-set by the specification of a greywater and/or rainwater collection system. The intention being to ensure demand reduction is prioritised before off-setting consumption.
For the four and five BREEAM credit levels, where a greywater/rainwater system is specified/installed, the component specification must achieve a percentage reduction in water consumption (over the baseline specification) equivalent to that required for 2 credits i.e. a 25% improvement. 
Where this level is achieved, all of the total water demand met by greywater/rainwater sources can contribute to the overall percentage improvement required to achieve BREEAM credits. If it is not achieved, the percentage of greywater/rainwater allowable will be equivalent to the percentage improvement in water consumption achieved for the component specification (i.e. percentage improvement on the baseline specification). For example, if only a 20% improvement is achieved, and therefore the building is not meeting the 25% requirement, then only 20% of the water demand met via greywater/rainwater sources can be used to off-set water consumption from the microcomponents. 
This minimum requirement does not apply where only 1, 2 or 3 credits are sought or where no greywater/rainwater system is specified i.e. percentage improvement is based solely on the water efficiency of the microcomponent specification. Where this is the case, this box will state either "Not applicable" or "System not specified".
</t>
        </r>
      </text>
    </comment>
    <comment ref="P132" authorId="0" shapeId="0" xr:uid="{00000000-0006-0000-0700-000012000000}">
      <text>
        <r>
          <rPr>
            <sz val="8"/>
            <color indexed="81"/>
            <rFont val="Tahoma"/>
            <family val="2"/>
          </rPr>
          <t>See comment in activity database under occupant density for this building area for explanation of how this figure is calculated.</t>
        </r>
      </text>
    </comment>
    <comment ref="P133" authorId="0" shapeId="0" xr:uid="{00000000-0006-0000-0700-000013000000}">
      <text>
        <r>
          <rPr>
            <sz val="8"/>
            <color indexed="81"/>
            <rFont val="Tahoma"/>
            <family val="2"/>
          </rPr>
          <t>See comment in activity database under occupant density for this building area for explanation of how this figure is calculated.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Tim Bevan</author>
    <author>Bevan</author>
  </authors>
  <commentList>
    <comment ref="B31" authorId="0" shapeId="0" xr:uid="{00000000-0006-0000-0800-000001000000}">
      <text>
        <r>
          <rPr>
            <sz val="10"/>
            <color indexed="81"/>
            <rFont val="Tahoma"/>
            <family val="2"/>
          </rPr>
          <t>Includes standard automatic (timed) flush or infrared occupant sensing system linked to a cistern which flushes one or more urinal bowls.</t>
        </r>
      </text>
    </comment>
    <comment ref="F31" authorId="1" shapeId="0" xr:uid="{00000000-0006-0000-0800-000002000000}">
      <text>
        <r>
          <rPr>
            <sz val="10"/>
            <color indexed="81"/>
            <rFont val="Tahoma"/>
            <family val="2"/>
          </rPr>
          <t>Enter the number of times that the specified cistern will flush per hour (assuming the default period of operation for this building type, given above).
Where infrared sensing flushing control or some form of mechanical flush control is specified, the frequency must be based on the pre-set flushing frequency (confirmed by the design team or building's end user). 
Alternatively, the flush controllers factory default setting or a default figure necessary to maintain compliance with the Water Supply (Water Fittings) Regulations can be used, as follows: 
7.5 litres/hour/bowl where cistern serves two or more urinal bowls. Or
10 litres/hour/bowl where cistern serves only one urinal bowl.
Where urinals are likely to go longer than 30 minutes without flushing after use it should be confirmed that the urinals bowls are of a type designed for low flushing frequency. 
This is to avoid standard urinals being specified and the flushing frequency being set low to reduce water demand; this can cause hygienic problems and unnecessary maintenance (avoided through proper specification and system set-up).</t>
        </r>
      </text>
    </comment>
    <comment ref="B34" authorId="0" shapeId="0" xr:uid="{00000000-0006-0000-0800-000003000000}">
      <text>
        <r>
          <rPr>
            <sz val="10"/>
            <color indexed="81"/>
            <rFont val="Tahoma"/>
            <family val="2"/>
          </rPr>
          <t xml:space="preserve">i.e. bush button or infrared detection on each urinal bowl operated after use.
</t>
        </r>
      </text>
    </comment>
    <comment ref="D42" authorId="0" shapeId="0" xr:uid="{00000000-0006-0000-0800-000004000000}">
      <text>
        <r>
          <rPr>
            <sz val="10"/>
            <color indexed="81"/>
            <rFont val="Tahoma"/>
            <family val="2"/>
          </rPr>
          <t>Enter the full flow rate in litres per minute measured at a dynamic pressure of 3±0.2 bar (0.3±0.02 MPa) for high pressure (Type 1) taps, or at a dynamic pressure of 0.1±0.02 bar (0.01±0.002 MPa) for low pressure (Type 2) taps (BS EN 200:2008, sanitary tapware, single taps and combination taps for supply systems of type 1 and 2. General technical specifications) including any reductions achieved with flow restrictions.
The calculation will make an adjustment of two-thirds maximum flow rate to account for the fact that taps will not to be run at full volume.
Where the specified taps have a break point at the mid range of the flow (often referred to as 'click taps' or two stage mixer taps), the flow rate should be taken as the maximum flow rate quoted by the manufacturer of the lower range before the water break. This is typically 50 per cent of the flow rate, however this should not be assumed and manufacturer’s information must always be used.</t>
        </r>
        <r>
          <rPr>
            <sz val="8"/>
            <color indexed="81"/>
            <rFont val="Tahoma"/>
            <family val="2"/>
          </rPr>
          <t xml:space="preserve">
</t>
        </r>
      </text>
    </comment>
    <comment ref="D43" authorId="0" shapeId="0" xr:uid="{00000000-0006-0000-0800-000005000000}">
      <text>
        <r>
          <rPr>
            <sz val="10"/>
            <color indexed="81"/>
            <rFont val="Tahoma"/>
            <family val="2"/>
          </rPr>
          <t>Enter the flow rate of the shower at the outlet using cold water (T ≤ 30˚ C), in litres per minute measured at a dynamic pressure of 3±0.2 bar (0.3±0.02 MPa) for high pressure (Type 1) supply systems, or at a dynamic pressure of 0.1±0.05 bar (0.01±0.005 MPa) for low pressure (Type 2) supply systems (BS EN 1112:2008, Sanitary tapware. Shower outlets for sanitary tapware for water supply systems type 1 and 2. General technical specifications).Kitchen taps (maximum flow rate litres/min).
Where a shower head delivers a range of flow rates, the average or typical flow rate should be used.</t>
        </r>
        <r>
          <rPr>
            <sz val="8"/>
            <color indexed="81"/>
            <rFont val="Tahoma"/>
            <family val="2"/>
          </rPr>
          <t xml:space="preserve">
</t>
        </r>
        <r>
          <rPr>
            <sz val="10"/>
            <color indexed="81"/>
            <rFont val="Tahoma"/>
            <family val="2"/>
          </rPr>
          <t>Where a fitness/suite gym is specified, the default usage/person/day will adjust to account for shower use from this facility, this is in addition to the general default resulting from use of showers by cyclists.</t>
        </r>
      </text>
    </comment>
    <comment ref="D44" authorId="0" shapeId="0" xr:uid="{00000000-0006-0000-0800-000006000000}">
      <text>
        <r>
          <rPr>
            <sz val="10"/>
            <color indexed="81"/>
            <rFont val="Tahoma"/>
            <family val="2"/>
          </rPr>
          <t>Enter the flow rate of the shower at the outlet using cold water (T ≤ 30˚ C), in litres per minute measured at a dynamic pressure of 3±0.2 bar (0.3±0.02 MPa) for high pressure (Type 1) supply systems, or at a dynamic pressure of 0.1±0.05 bar (0.01±0.005 MPa) for low pressure (Type 2) supply systems (BS EN 1112:2008, Sanitary tapware. Shower outlets for sanitary tapware for water supply systems type 1 and 2. General technical specifications).Kitchen taps (maximum flow rate litres/min).
Where a shower head delivers a range of flow rates, the average or typical flow rate should be used.</t>
        </r>
        <r>
          <rPr>
            <sz val="8"/>
            <color indexed="81"/>
            <rFont val="Tahoma"/>
            <family val="2"/>
          </rPr>
          <t xml:space="preserve">
</t>
        </r>
      </text>
    </comment>
    <comment ref="D45" authorId="0" shapeId="0" xr:uid="{00000000-0006-0000-0800-000007000000}">
      <text>
        <r>
          <rPr>
            <sz val="10"/>
            <color indexed="81"/>
            <rFont val="Tahoma"/>
            <family val="2"/>
          </rPr>
          <t>Enter the bath capacity to overflow. The calculation will use 40% of this volume for consumption. This is to reflect that a) users tend not to fill the bath to overflow and b) the buoyancy affect the user has on the actual volume of water required for a bath.</t>
        </r>
      </text>
    </comment>
    <comment ref="D46" authorId="0" shapeId="0" xr:uid="{00000000-0006-0000-0800-000008000000}">
      <text>
        <r>
          <rPr>
            <sz val="10"/>
            <color indexed="81"/>
            <rFont val="Tahoma"/>
            <family val="2"/>
          </rPr>
          <t>Enter the bath capacity to overflow. The calculation will use 40% of this volume for consumption. This is to reflect that a) users tend not to fill the bath to overflow and b) the buoyancy affect the user has on the actual volume of water required for a bath.</t>
        </r>
        <r>
          <rPr>
            <sz val="8"/>
            <color indexed="81"/>
            <rFont val="Tahoma"/>
            <family val="2"/>
          </rPr>
          <t xml:space="preserve">
</t>
        </r>
      </text>
    </comment>
    <comment ref="B47" authorId="0" shapeId="0" xr:uid="{00000000-0006-0000-0800-000009000000}">
      <text>
        <r>
          <rPr>
            <sz val="10"/>
            <color indexed="81"/>
            <rFont val="Tahoma"/>
            <family val="2"/>
          </rPr>
          <t>This fixed use is drinking water consumed by staff.
Where a fitness suite/gym is also present, an allowance is made for the additional water consumed resulting from the provision of this facility on a per person basis for the whole building (hence why the additional amount is minor, as not all staff will use the facility).
This total is fixed for both the actual specification and the standard specification, therefore the consumption from this use does not influence the achievement of BREEAM credits. It is included simply to give a more accurate reflection of the total water consumption for the building.</t>
        </r>
      </text>
    </comment>
    <comment ref="B48" authorId="0" shapeId="0" xr:uid="{00000000-0006-0000-0800-00000A000000}">
      <text>
        <r>
          <rPr>
            <sz val="10"/>
            <color indexed="81"/>
            <rFont val="Tahoma"/>
            <family val="2"/>
          </rPr>
          <t>This accounts for water consumption, and therefore efficiency of components used for cleaning, e.g. utensils, crockery etc., in staff kitchenette areas.
If this activity area does not exist in the building, then do not enter data in the relevant cells.</t>
        </r>
      </text>
    </comment>
    <comment ref="D49" authorId="0" shapeId="0" xr:uid="{00000000-0006-0000-0800-00000B000000}">
      <text>
        <r>
          <rPr>
            <sz val="10"/>
            <color indexed="81"/>
            <rFont val="Tahoma"/>
            <family val="2"/>
          </rPr>
          <t>Enter the full flow rate in litres per minute measured at a dynamic pressure of 3±0.2 bar (0.3±0.02 MPa) for high pressure (Type 1) taps, or at a dynamic pressure of 0.1±0.02 bar (0.01±0.002 MPa) for low pressure (Type 2) taps (BS EN 200:2008, sanitary tapware, single taps and combination taps for supply systems of type 1 and 2. General technical specifications) including any reductions achieved with flow restrictions.
The calculation will make an adjustment of two-thirds maximum flow rate to account for the fact that taps will not to be run at full volume.
Where the specified taps have a break point at the mid range of the flow (often referred to as 'click taps' or two stage mixer taps), the flow rate should be taken as the maximum flow rate quoted by the manufacturer of the lower range before the water break. This is typically 50 per cent of the flow rate, however this should not be assumed and manufacturer’s information must always be used.</t>
        </r>
      </text>
    </comment>
    <comment ref="D50" authorId="0" shapeId="0" xr:uid="{00000000-0006-0000-0800-00000C000000}">
      <text>
        <r>
          <rPr>
            <sz val="10"/>
            <color indexed="81"/>
            <rFont val="Tahoma"/>
            <family val="2"/>
          </rPr>
          <t xml:space="preserve">Dishwashers in staff kitchen area(s). Requires inclusion only where it is known that a dishwasher will be installed, as follows:
</t>
        </r>
        <r>
          <rPr>
            <b/>
            <sz val="10"/>
            <color indexed="81"/>
            <rFont val="Tahoma"/>
            <family val="2"/>
          </rPr>
          <t>Building end user/client known</t>
        </r>
        <r>
          <rPr>
            <sz val="10"/>
            <color indexed="81"/>
            <rFont val="Tahoma"/>
            <family val="2"/>
          </rPr>
          <t xml:space="preserve">: The stakeholder confirms whether this component will be installed, where this is the case they must confirm intended specification which is then entered in the calculation. Where installation is confirmed, but litres/cycle for the dishwasher is not known/confirmed, then assume a default of 17 litres/cycle setting for the purpose of the calculation.
</t>
        </r>
        <r>
          <rPr>
            <b/>
            <sz val="10"/>
            <color indexed="81"/>
            <rFont val="Tahoma"/>
            <family val="2"/>
          </rPr>
          <t>Building/end user not known</t>
        </r>
        <r>
          <rPr>
            <sz val="10"/>
            <color indexed="81"/>
            <rFont val="Tahoma"/>
            <family val="2"/>
          </rPr>
          <t>: The specification is determined on the basis of whether or not provision is made within the activity area for future installation i.e. dedicated fittings plumbed for water supply and waste extraction. Where this is the case, if a maximum allowable specification is not specified within a lease agreement (for a tenanted area), then assume a default of 17 litres/cycle for the purpose of the calculation. Where no provision is made for the future installation of this component type, then it can be assumed that it will not be specified (for BREEAM purposes) and a specification not entered within the calculation.</t>
        </r>
        <r>
          <rPr>
            <sz val="8"/>
            <color indexed="81"/>
            <rFont val="Tahoma"/>
            <family val="2"/>
          </rPr>
          <t xml:space="preserve">
</t>
        </r>
        <r>
          <rPr>
            <sz val="10"/>
            <color indexed="81"/>
            <rFont val="Tahoma"/>
            <family val="2"/>
          </rPr>
          <t xml:space="preserve">
Where manufacturers data specifies dishwasher water efficiency in litres/place setting, simply multiply this figure by the number of place settings the dishwasher is designed to accommodate per wash cycle to get the litres/cycle (water consumption) for the purpose of this calculation.</t>
        </r>
      </text>
    </comment>
    <comment ref="D52" authorId="0" shapeId="0" xr:uid="{00000000-0006-0000-0800-00000D000000}">
      <text>
        <r>
          <rPr>
            <sz val="10"/>
            <color indexed="81"/>
            <rFont val="Tahoma"/>
            <family val="2"/>
          </rPr>
          <t>Enter the full flow rate in litres per minute measured at a dynamic pressure of 3±0.2 bar (0.3±0.02 MPa) for high pressure (Type 1) taps, or at a dynamic pressure of 0.1±0.02 bar (0.01±0.002 MPa) for low pressure (Type 2) taps (BS EN 200:2008, sanitary tapware, single taps and combination taps for supply systems of type 1 and 2. General technical specifications) including any reductions achieved with flow restrictions.
The calculation assumes the component will be used at this maximum given the type of use i.e. no adjustment is made as per wash hand basin taps.</t>
        </r>
      </text>
    </comment>
    <comment ref="D53" authorId="0" shapeId="0" xr:uid="{00000000-0006-0000-0800-00000E000000}">
      <text>
        <r>
          <rPr>
            <sz val="10"/>
            <color indexed="81"/>
            <rFont val="Tahoma"/>
            <family val="2"/>
          </rPr>
          <t>Usage factor for this component is based on a commercial dishwasher component. 
The default usage is set at quarter a rack of crockery per cover i.e. meal served. The number of covers is determined based on size of seated dining area.</t>
        </r>
      </text>
    </comment>
    <comment ref="G104" authorId="0" shapeId="0" xr:uid="{00000000-0006-0000-0800-00000F000000}">
      <text>
        <r>
          <rPr>
            <sz val="10"/>
            <color indexed="81"/>
            <rFont val="Tahoma"/>
            <family val="2"/>
          </rPr>
          <t xml:space="preserve">The focus of this BREEAM issue is the performance of the buildings permanent domestic water consuming components. Where a greywater or rainwater system is specified, the yield from the system should be prioritised for such uses i.e. WC/Urinal flushing. However, where the building demonstrates that it has other consistent (i.e. daily) and equivalent levels of non potable water demand, and such demands are intrinsic to the building’s operation, then it is permissible for the demand from these non domestic uses to be counted i.e. the demand for rainwater/greywater yield from such systems/components can be used as well as, or instead of non potable water demand from the buildings WC/Urinal components. 
Examples of consistent and equivalent demands could include laundry use in hotels/multi-residential developments or horticultural uses in garden centres, botanical gardens and golf courses. Demand for general landscaping and ornamental planting irrigation are not considered equivalent by BREEAM.
</t>
        </r>
      </text>
    </comment>
    <comment ref="G106" authorId="0" shapeId="0" xr:uid="{00000000-0006-0000-0800-000010000000}">
      <text>
        <r>
          <rPr>
            <sz val="10"/>
            <color indexed="81"/>
            <rFont val="Tahoma"/>
            <family val="2"/>
          </rPr>
          <t>Where other permissible components are the only components to demand greywater and/or rainwater yield then the figure here is equivalent to the total greywater and/or rainwater yield calculated using this methodology, but converted in to Litres/day from Litres/person/day. The conversion is to enable a comparison with the components actual/predicted water demand to determine the proportion of the yield that the component is likely to use.
Where other permissible components demand greywater and/or rainwater yield in addition to demand from WC and/or urinals, the figure here is the sum of the total rainwater and/or greywater yield  minus the demand from WC/urinal components. If the WC/urinal components already demand 100% of the yield then the figure here will be zero i.e. none of the yield is available to meet the other demand.
Note: Even though in reality the actual building's other permissible components may use greywater and/or rainwater yield, if the available yield (as calculated by this methodology, using a default occupancy rate) is less than or equal to the demand from the WC/urinal components, then 100% of the yield will be attributed to that demand leaving zero yield for other uses.</t>
        </r>
      </text>
    </comment>
    <comment ref="F123" authorId="0" shapeId="0" xr:uid="{00000000-0006-0000-0800-000011000000}">
      <text>
        <r>
          <rPr>
            <sz val="10"/>
            <color indexed="81"/>
            <rFont val="Tahoma"/>
            <family val="2"/>
          </rPr>
          <t xml:space="preserve">Where greywater and/or rainwater systems are specified there is a minimum level of component efficiency that must be achieved to award 4 or 5 BREEAM credits and the exemplary level credit. This is to avoid awarding a higher number of BREEAM credits where performance from less efficient fittings is off-set by the specification of a greywater and/or rainwater collection system. The intention being to ensure demand reduction is prioritised before off-setting consumption.
For the four and five BREEAM credit levels, where a greywater/rainwater system is specified/installed, the component specification must achieve a percentage reduction in water consumption (over the baseline specification) equivalent to that required for 2 credits i.e. a 25% improvement. 
Where this level is achieved, all of the total water demand met by greywater/rainwater sources can contribute to the overall percentage improvement required to achieve BREEAM credits. If it is not achieved, the percentage of greywater/rainwater allowable will be equivalent to the percentage improvement in water consumption achieved for the component specification (i.e. percentage improvement on the baseline specification). For example, if only a 20% improvement is achieved, and therefore the building is not meeting the 25% requirement, then only 20% of the water demand met via greywater/rainwater sources can be used to off-set water consumption from the microcomponents. 
This minimum requirement does not apply where only 1, 2 or 3 credits are sought or where no greywater/rainwater system is specified i.e. percentage improvement is based solely on the water efficiency of the microcomponent specification. Where this is the case, this box will state either "Not applicable" or "System not specified".
</t>
        </r>
      </text>
    </comment>
    <comment ref="O136" authorId="0" shapeId="0" xr:uid="{00000000-0006-0000-0800-000012000000}">
      <text>
        <r>
          <rPr>
            <sz val="8"/>
            <color indexed="81"/>
            <rFont val="Tahoma"/>
            <family val="2"/>
          </rPr>
          <t>See activity database note for reason why this is zero</t>
        </r>
        <r>
          <rPr>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Tim Bevan</author>
    <author>Bevan</author>
  </authors>
  <commentList>
    <comment ref="B34" authorId="0" shapeId="0" xr:uid="{00000000-0006-0000-0900-000001000000}">
      <text>
        <r>
          <rPr>
            <sz val="10"/>
            <color indexed="81"/>
            <rFont val="Tahoma"/>
            <family val="2"/>
          </rPr>
          <t>Includes standard automatic (timed) flush or infrared occupant sensing system linked to a cistern which flushes one or more urinal bowls.</t>
        </r>
        <r>
          <rPr>
            <sz val="8"/>
            <color indexed="81"/>
            <rFont val="Tahoma"/>
            <family val="2"/>
          </rPr>
          <t xml:space="preserve">
</t>
        </r>
      </text>
    </comment>
    <comment ref="F34" authorId="1" shapeId="0" xr:uid="{00000000-0006-0000-0900-000002000000}">
      <text>
        <r>
          <rPr>
            <sz val="10"/>
            <color indexed="81"/>
            <rFont val="Tahoma"/>
            <family val="2"/>
          </rPr>
          <t>Enter the number of times that the specified cistern will flush per hour (assuming the default period of operation for this building type, given above).
Where infrared sensing flushing control or some form of mechanical flush control is specified, the frequency must be based on the pre-set flushing frequency (confirmed by the design team or building's end user). 
Alternatively, the flush controllers factory default setting or a default figure necessary to maintain compliance with the Water Supply (Water Fittings) Regulations can be used, as follows: 
7.5 litres/hour/bowl where cistern serves two or more urinal bowls. Or
10 litres/hour/bowl where cistern serves only one urinal bowl.
Where urinals are likely to go longer than 30 minutes without flushing after use it should be confirmed that the urinals bowls are of a type designed for low flushing frequency. 
This is to avoid standard urinals being specified and the flushing frequency being set low to reduce water demand; this can cause hygienic problems and unnecessary maintenance (avoided through proper specification and system set-up).</t>
        </r>
      </text>
    </comment>
    <comment ref="B37" authorId="0" shapeId="0" xr:uid="{00000000-0006-0000-0900-000003000000}">
      <text>
        <r>
          <rPr>
            <sz val="10"/>
            <color indexed="81"/>
            <rFont val="Tahoma"/>
            <family val="2"/>
          </rPr>
          <t xml:space="preserve">i.e. bush button or infrared detection on each urinal bowl operated after use.
</t>
        </r>
      </text>
    </comment>
    <comment ref="D45" authorId="0" shapeId="0" xr:uid="{00000000-0006-0000-0900-000004000000}">
      <text>
        <r>
          <rPr>
            <sz val="10"/>
            <color indexed="81"/>
            <rFont val="Tahoma"/>
            <family val="2"/>
          </rPr>
          <t>Enter the full flow rate in litres per minute measured at a dynamic pressure of 3±0.2 bar (0.3±0.02 MPa) for high pressure (Type 1) taps, or at a dynamic pressure of 0.1±0.02 bar (0.01±0.002 MPa) for low pressure (Type 2) taps (BS EN 200:2008, sanitary tapware, single taps and combination taps for supply systems of type 1 and 2. General technical specifications) including any reductions achieved with flow restrictions.
The calculation will make an adjustment of two-thirds maximum flow rate to account for the fact that taps will not to be run at full volume.
Where the specified taps have a break point at the mid range of the flow (often referred to as 'click taps' or two stage mixer taps), the flow rate should be taken as the maximum flow rate quoted by the manufacturer of the lower range before the water break. This is typically 50 per cent of the flow rate, however this should not be assumed and manufacturer’s information must always be used.</t>
        </r>
        <r>
          <rPr>
            <sz val="8"/>
            <color indexed="81"/>
            <rFont val="Tahoma"/>
            <family val="2"/>
          </rPr>
          <t xml:space="preserve">
</t>
        </r>
      </text>
    </comment>
    <comment ref="D46" authorId="0" shapeId="0" xr:uid="{00000000-0006-0000-0900-000005000000}">
      <text>
        <r>
          <rPr>
            <sz val="10"/>
            <color indexed="81"/>
            <rFont val="Tahoma"/>
            <family val="2"/>
          </rPr>
          <t>Enter the flow rate of the shower at the outlet using cold water (T ≤ 30˚ C), in litres per minute measured at a dynamic pressure of 3±0.2 bar (0.3±0.02 MPa) for high pressure (Type 1) supply systems, or at a dynamic pressure of 0.1±0.05 bar (0.01±0.005 MPa) for low pressure (Type 2) supply systems (BS EN 1112:2008, Sanitary tapware. Shower outlets for sanitary tapware for water supply systems type 1 and 2. General technical specifications).Kitchen taps (maximum flow rate litres/min).
Where a shower head delivers a range of flow rates, the average or typical flow rate should be used.</t>
        </r>
        <r>
          <rPr>
            <sz val="8"/>
            <color indexed="81"/>
            <rFont val="Tahoma"/>
            <family val="2"/>
          </rPr>
          <t xml:space="preserve">
</t>
        </r>
        <r>
          <rPr>
            <sz val="10"/>
            <color indexed="81"/>
            <rFont val="Tahoma"/>
            <family val="2"/>
          </rPr>
          <t>Where a fitness/suite gym is specified, the default usage/person/day will adjust to account for shower use from this facility, this is in addition to the general default resulting from use of showers by cyclists.</t>
        </r>
      </text>
    </comment>
    <comment ref="D47" authorId="0" shapeId="0" xr:uid="{00000000-0006-0000-0900-000006000000}">
      <text>
        <r>
          <rPr>
            <sz val="10"/>
            <color indexed="81"/>
            <rFont val="Tahoma"/>
            <family val="2"/>
          </rPr>
          <t>Enter the flow rate of the shower at the outlet using cold water (T ≤ 30˚ C), in litres per minute measured at a dynamic pressure of 3±0.2 bar (0.3±0.02 MPa) for high pressure (Type 1) supply systems, or at a dynamic pressure of 0.1±0.05 bar (0.01±0.005 MPa) for low pressure (Type 2) supply systems (BS EN 1112:2008, Sanitary tapware. Shower outlets for sanitary tapware for water supply systems type 1 and 2. General technical specifications).Kitchen taps (maximum flow rate litres/min).
Where a shower head delivers a range of flow rates, the average or typical flow rate should be used.</t>
        </r>
        <r>
          <rPr>
            <sz val="8"/>
            <color indexed="81"/>
            <rFont val="Tahoma"/>
            <family val="2"/>
          </rPr>
          <t xml:space="preserve">
</t>
        </r>
      </text>
    </comment>
    <comment ref="D48" authorId="0" shapeId="0" xr:uid="{00000000-0006-0000-0900-000007000000}">
      <text>
        <r>
          <rPr>
            <sz val="10"/>
            <color indexed="81"/>
            <rFont val="Tahoma"/>
            <family val="2"/>
          </rPr>
          <t>Enter the bath capacity to overflow. The calculation will use 40% of this volume for consumption. This is to reflect that a) users tend not to fill the bath to overflow and b) the buoyancy affect the user has on the actual volume of water required for a bath.</t>
        </r>
      </text>
    </comment>
    <comment ref="D49" authorId="0" shapeId="0" xr:uid="{00000000-0006-0000-0900-000008000000}">
      <text>
        <r>
          <rPr>
            <sz val="10"/>
            <color indexed="81"/>
            <rFont val="Tahoma"/>
            <family val="2"/>
          </rPr>
          <t>Enter the bath capacity to overflow. The calculation will use 40% of this volume for consumption. This is to reflect that a) users tend not to fill the bath to overflow and b) the buoyancy affect the user has on the actual volume of water required for a bath.</t>
        </r>
        <r>
          <rPr>
            <sz val="8"/>
            <color indexed="81"/>
            <rFont val="Tahoma"/>
            <family val="2"/>
          </rPr>
          <t xml:space="preserve">
</t>
        </r>
      </text>
    </comment>
    <comment ref="B50" authorId="0" shapeId="0" xr:uid="{00000000-0006-0000-0900-000009000000}">
      <text>
        <r>
          <rPr>
            <sz val="10"/>
            <color indexed="81"/>
            <rFont val="Tahoma"/>
            <family val="2"/>
          </rPr>
          <t>This fixed use is drinking water consumed by staff.
Where a sports facility is also present, an allowance is made for the additional water consumed resulting from the provision of this facility on a per person basis for the whole building.
This total is fixed for both the actual specification and the standard specification, therefore the consumption from this use does not influence the achievement of BREEAM credits. It is included simply to give a more accurate reflection of the total water consumption for the building.</t>
        </r>
      </text>
    </comment>
    <comment ref="B51" authorId="0" shapeId="0" xr:uid="{00000000-0006-0000-0900-00000A000000}">
      <text>
        <r>
          <rPr>
            <sz val="10"/>
            <color indexed="81"/>
            <rFont val="Tahoma"/>
            <family val="2"/>
          </rPr>
          <t>This accounts for water consumption, and therefore efficiency of components used for cleaning, e.g. utensils, crockery etc., in staff kitchenette areas.
If this activity area does not exist in the building, then do not enter data in the relevant cells.</t>
        </r>
      </text>
    </comment>
    <comment ref="D52" authorId="0" shapeId="0" xr:uid="{00000000-0006-0000-0900-00000B000000}">
      <text>
        <r>
          <rPr>
            <sz val="10"/>
            <color indexed="81"/>
            <rFont val="Tahoma"/>
            <family val="2"/>
          </rPr>
          <t>Enter the full flow rate in litres per minute measured at a dynamic pressure of 3±0.2 bar (0.3±0.02 MPa) for high pressure (Type 1) taps, or at a dynamic pressure of 0.1±0.02 bar (0.01±0.002 MPa) for low pressure (Type 2) taps (BS EN 200:2008, sanitary tapware, single taps and combination taps for supply systems of type 1 and 2. General technical specifications) including any reductions achieved with flow restrictions.
The calculation will make an adjustment of two-thirds maximum flow rate to account for the fact that taps will not to be run at full volume.
Where the specified taps have a break point at the mid range of the flow (often referred to as 'click taps' or two stage mixer taps), the flow rate should be taken as the maximum flow rate quoted by the manufacturer of the lower range before the water break. This is typically 50 per cent of the flow rate, however this should not be assumed and manufacturer’s information must always be used.</t>
        </r>
      </text>
    </comment>
    <comment ref="D53" authorId="0" shapeId="0" xr:uid="{00000000-0006-0000-0900-00000C000000}">
      <text>
        <r>
          <rPr>
            <sz val="10"/>
            <color indexed="81"/>
            <rFont val="Tahoma"/>
            <family val="2"/>
          </rPr>
          <t xml:space="preserve">Dishwashers in staff kitchen area(s). Requires inclusion only where it is known that a dishwasher will be installed, as follows:
</t>
        </r>
        <r>
          <rPr>
            <b/>
            <sz val="10"/>
            <color indexed="81"/>
            <rFont val="Tahoma"/>
            <family val="2"/>
          </rPr>
          <t>Building end user/client known</t>
        </r>
        <r>
          <rPr>
            <sz val="10"/>
            <color indexed="81"/>
            <rFont val="Tahoma"/>
            <family val="2"/>
          </rPr>
          <t xml:space="preserve">: The stakeholder confirms whether this component will be installed, where this is the case they must confirm intended specification which is then entered in the calculation. Where installation is confirmed, but litres/cycle for the dishwasher is not known/confirmed, then assume a default of 17 litres/cycle setting for the purpose of the calculation.
</t>
        </r>
        <r>
          <rPr>
            <b/>
            <sz val="10"/>
            <color indexed="81"/>
            <rFont val="Tahoma"/>
            <family val="2"/>
          </rPr>
          <t>Building/end user not known</t>
        </r>
        <r>
          <rPr>
            <sz val="10"/>
            <color indexed="81"/>
            <rFont val="Tahoma"/>
            <family val="2"/>
          </rPr>
          <t>: The specification is determined on the basis of whether or not provision is made within the activity area for future installation i.e. dedicated fittings plumbed for water supply and waste extraction. Where this is the case, if a maximum allowable specification is not specified within a lease agreement (for a tenanted area), then assume a default of 17 litres/cycle for the purpose of the calculation. Where no provision is made for the future installation of this component type, then it can be assumed that it will not be specified (for BREEAM purposes) and a specification not entered within the calculation.</t>
        </r>
        <r>
          <rPr>
            <sz val="8"/>
            <color indexed="81"/>
            <rFont val="Tahoma"/>
            <family val="2"/>
          </rPr>
          <t xml:space="preserve">
</t>
        </r>
        <r>
          <rPr>
            <sz val="10"/>
            <color indexed="81"/>
            <rFont val="Tahoma"/>
            <family val="2"/>
          </rPr>
          <t xml:space="preserve">
Where manufacturers data specifies dishwasher water efficiency in litres/place setting, simply multiply this figure by the number of place settings the dishwasher is designed to accommodate per wash cycle to get the litres/cycle (water consumption) for the purpose of this calculation.</t>
        </r>
      </text>
    </comment>
    <comment ref="D55" authorId="0" shapeId="0" xr:uid="{00000000-0006-0000-0900-00000D000000}">
      <text>
        <r>
          <rPr>
            <sz val="10"/>
            <color indexed="81"/>
            <rFont val="Tahoma"/>
            <family val="2"/>
          </rPr>
          <t>Enter the full flow rate in litres per minute measured at a dynamic pressure of 3±0.2 bar (0.3±0.02 MPa) for high pressure (Type 1) taps, or at a dynamic pressure of 0.1±0.02 bar (0.01±0.002 MPa) for low pressure (Type 2) taps (BS EN 200:2008, sanitary tapware, single taps and combination taps for supply systems of type 1 and 2. General technical specifications) including any reductions achieved with flow restrictions.
The calculation assumes the component will be used at this maximum given the type of use i.e. no adjustment is made as per wash hand basin taps.</t>
        </r>
      </text>
    </comment>
    <comment ref="D56" authorId="0" shapeId="0" xr:uid="{00000000-0006-0000-0900-00000E000000}">
      <text>
        <r>
          <rPr>
            <sz val="10"/>
            <color indexed="81"/>
            <rFont val="Tahoma"/>
            <family val="2"/>
          </rPr>
          <t>Usage factor for this component is based on a commercial dishwasher component. 
The default usage is set at quarter a rack of crockery per cover i.e. meal served. The number of covers is determined based on size of seated dining area.</t>
        </r>
      </text>
    </comment>
    <comment ref="G107" authorId="0" shapeId="0" xr:uid="{00000000-0006-0000-0900-00000F000000}">
      <text>
        <r>
          <rPr>
            <sz val="10"/>
            <color indexed="81"/>
            <rFont val="Tahoma"/>
            <family val="2"/>
          </rPr>
          <t xml:space="preserve">The focus of this BREEAM issue is the performance of the buildings permanent domestic water consuming components. Where a greywater or rainwater system is specified, the yield from the system should be prioritised for such uses i.e. WC/Urinal flushing. However, where the building demonstrates that it has other consistent (i.e. daily) and equivalent levels of non potable water demand, and such demands are intrinsic to the building’s operation, then it is permissible for the demand from these non domestic uses to be counted i.e. the demand for rainwater/greywater yield from such systems/components can be used as well as, or instead of non potable water demand from the buildings WC/Urinal components. 
Examples of consistent and equivalent demands could include laundry use in hotels/multi-residential developments or horticultural uses in garden centres, botanical gardens and golf courses. Demand for general landscaping and ornamental planting irrigation are not considered equivalent by BREEAM.
</t>
        </r>
      </text>
    </comment>
    <comment ref="G109" authorId="0" shapeId="0" xr:uid="{00000000-0006-0000-0900-000010000000}">
      <text>
        <r>
          <rPr>
            <sz val="10"/>
            <color indexed="81"/>
            <rFont val="Tahoma"/>
            <family val="2"/>
          </rPr>
          <t>Where other permissible components are the only components to demand greywater and/or rainwater yield then the figure here is equivalent to the total greywater and/or rainwater yield calculated using this methodology, but converted in to Litres/day from Litres/person/day. The conversion is to enable a comparison with the components actual/predicted water demand to determine the proportion of the yield that the component is likely to use.
Where other permissible components demand greywater and/or rainwater yield in addition to demand from WC and/or urinals, the figure here is the sum of the total rainwater and/or greywater yield  minus the demand from WC/urinal components. If the WC/urinal components already demand 100% of the yield then the figure here will be zero i.e. none of the yield is available to meet the other demand.
Note: Even though in reality the actual building's other permissible components may use greywater and/or rainwater yield, if the available yield (as calculated by this methodology, using a default occupancy rate) is less than or equal to the demand from the WC/urinal components, then 100% of the yield will be attributed to that demand leaving zero yield for other uses.</t>
        </r>
      </text>
    </comment>
    <comment ref="F126" authorId="0" shapeId="0" xr:uid="{00000000-0006-0000-0900-000011000000}">
      <text>
        <r>
          <rPr>
            <sz val="10"/>
            <color indexed="81"/>
            <rFont val="Tahoma"/>
            <family val="2"/>
          </rPr>
          <t xml:space="preserve">Where greywater and/or rainwater systems are specified there is a minimum level of component efficiency that must be achieved to award 4 or 5 BREEAM credits and the exemplary level credit. This is to avoid awarding a higher number of BREEAM credits where performance from less efficient fittings is off-set by the specification of a greywater and/or rainwater collection system. The intention being to ensure demand reduction is prioritised before off-setting consumption.
For the four and five BREEAM credit levels, where a greywater/rainwater system is specified/installed, the component specification must achieve a percentage reduction in water consumption (over the baseline specification) equivalent to that required for 2 credits i.e. a 25% improvement. 
Where this level is achieved, all of the total water demand met by greywater/rainwater sources can contribute to the overall percentage improvement required to achieve BREEAM credits. If it is not achieved, the percentage of greywater/rainwater allowable will be equivalent to the percentage improvement in water consumption achieved for the component specification (i.e. percentage improvement on the baseline specification). For example, if only a 20% improvement is achieved, and therefore the building is not meeting the 25% requirement, then only 20% of the water demand met via greywater/rainwater sources can be used to off-set water consumption from the microcomponents. 
This minimum requirement does not apply where only 1, 2 or 3 credits are sought or where no greywater/rainwater system is specified i.e. percentage improvement is based solely on the water efficiency of the microcomponent specification. Where this is the case, this box will state either "Not applicable" or "System not specified".
</t>
        </r>
      </text>
    </comment>
    <comment ref="O135" authorId="0" shapeId="0" xr:uid="{00000000-0006-0000-0900-000012000000}">
      <text>
        <r>
          <rPr>
            <sz val="8"/>
            <color indexed="81"/>
            <rFont val="Tahoma"/>
            <family val="2"/>
          </rPr>
          <t xml:space="preserve">This figure is the kitchen staff. See activity database for description of how this calculation works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Tim Bevan</author>
  </authors>
  <commentList>
    <comment ref="E106" authorId="0" shapeId="0" xr:uid="{00000000-0006-0000-0B00-000001000000}">
      <text>
        <r>
          <rPr>
            <sz val="11"/>
            <color indexed="81"/>
            <rFont val="Tahoma"/>
            <family val="2"/>
          </rPr>
          <t xml:space="preserve">Where urinals are specified in the building half the total of 2103 for WCs (to account for male use only) is adjusted by a usage ratio of 1 WC uses for every 3 urinal uses (this ratio is that used in non-domestic buildings where urinals are specified). This is further adjusted by the number of Urinals to WCs as it is assumed that for this building type there maybe some urinals, for example in facilities associated with an office or other non domestic area of the building, but that the urinals maybe small in number relative to the number of WCs.
This total is then subtracted from the WC use and added to the urinal usage.
</t>
        </r>
      </text>
    </comment>
    <comment ref="G106" authorId="0" shapeId="0" xr:uid="{00000000-0006-0000-0B00-000002000000}">
      <text>
        <r>
          <rPr>
            <sz val="8"/>
            <color indexed="81"/>
            <rFont val="Tahoma"/>
            <family val="2"/>
          </rPr>
          <t>The total figure for showers and baths from BNWate 22 is 2151.  Where only showers or baths are specified this total is used. Where both are available the total 2151 is adjusted in accordance with the use factor from the water consumption calculation for new dwellings, as follows:
Bath, where shower present: 0.11
Bath only: 0.5
Assuming 1 use per person per day (as per the new dwellings methodology), where a bath/shower is present the shower will be used 89% of the time (and bath the remaining 11%). Likewise, if only a bath is present then it is used once every two days i.e. 0.5 usage factor).</t>
        </r>
      </text>
    </comment>
    <comment ref="H106" authorId="0" shapeId="0" xr:uid="{00000000-0006-0000-0B00-000003000000}">
      <text>
        <r>
          <rPr>
            <sz val="8"/>
            <color indexed="81"/>
            <rFont val="Tahoma"/>
            <family val="2"/>
          </rPr>
          <t>The total figure for showers and baths from BNWate 22 is 2151.  Where only showers or baths are specified this total is used. Where both are available the total 2151 is adjusted in accordance with the use factor from the water consumption calculation for new dwellings, as follows:
Bath, where shower present: 0.11
Bath only: 0.5
Assuming 1 use per person per day (as per the new dwellings methodology), where a bath/shower is present the shower will be used 89% of the time (and bath the remaining 11%). Likewise, if only a bath is present then it is used once every two days i.e. 0.5 usage factor).</t>
        </r>
      </text>
    </comment>
    <comment ref="L106" authorId="0" shapeId="0" xr:uid="{00000000-0006-0000-0B00-000004000000}">
      <text>
        <r>
          <rPr>
            <sz val="10"/>
            <color indexed="81"/>
            <rFont val="Tahoma"/>
            <family val="2"/>
          </rPr>
          <t>This figure is inferred using the percentage split form hotels for this component and applying this to the total for residential use of 8199 ML/day for WCs, WHBs, Showers/Baths, kitchen taps, dishwasher and washing machines, as sourced from BNWatt22.
It is envisage that few residential institutions will have this component, unless they have a commercial kitchen associated with the development, but a figure is provided so that those residential developments with this component can be assessed.</t>
        </r>
      </text>
    </comment>
    <comment ref="M106" authorId="0" shapeId="0" xr:uid="{00000000-0006-0000-0B00-000005000000}">
      <text>
        <r>
          <rPr>
            <sz val="10"/>
            <color indexed="81"/>
            <rFont val="Tahoma"/>
            <family val="2"/>
          </rPr>
          <t>This figure is inferred using the percentage split form hotels for this component and applying this to the total for residential use of 8199 ML/day for WCs, WHBs, Showers/Baths, kitchen taps, dishwasher and washing machines, as sourced from BNWatt22.
It is envisage that few residential institutions will have this component, unless they have a commercial kitchen associated with the development, but a figure is provided so that those residential developments with this component can be assessed.</t>
        </r>
      </text>
    </comment>
    <comment ref="N106" authorId="0" shapeId="0" xr:uid="{00000000-0006-0000-0B00-000006000000}">
      <text>
        <r>
          <rPr>
            <sz val="10"/>
            <color indexed="81"/>
            <rFont val="Tahoma"/>
            <family val="2"/>
          </rPr>
          <t>This figure is inferred using the percentage split form hotels for this component and applying this to the total for residential use of 8199 ML/day for WCs, WHBs, Showers/Baths, kitchen taps, dishwasher and washing machines, as sourced from BNWatt22.
It is envisage that few residential institutions will have this component, unless they have a commercial kitchen associated with the development, but a figure is provided so that those residential developments with this component can be assessed.</t>
        </r>
      </text>
    </comment>
    <comment ref="O106" authorId="0" shapeId="0" xr:uid="{00000000-0006-0000-0B00-000007000000}">
      <text>
        <r>
          <rPr>
            <sz val="10"/>
            <color indexed="81"/>
            <rFont val="Tahoma"/>
            <family val="2"/>
          </rPr>
          <t>This figure is inferred using the percentage split form hotels for this component and applying this to the total for residential use of 8199 ML/day for WCs, WHBs, Showers/Baths, kitchen taps, dishwasher and washing machines, as sourced from BNWatt22.
It is envisage that few residential institutions will have this component, unless they have a commercial kitchen associated with the development, but a figure is provided so that those residential developments with this component can be assessed.</t>
        </r>
      </text>
    </comment>
    <comment ref="R106" authorId="0" shapeId="0" xr:uid="{00000000-0006-0000-0B00-000008000000}">
      <text>
        <r>
          <rPr>
            <sz val="8"/>
            <color indexed="81"/>
            <rFont val="Tahoma"/>
            <family val="2"/>
          </rPr>
          <t xml:space="preserve">BNWat22 confirms 681 mega-litres per day for non domestic buildings. Using this total and the following ratio of use/component, the splits have been determined for this building type:
WC = 27.60%
Urinal = 4.14%
WHB (includes the fixed use from vessel filling) = 17.85%
Shower = 22.2%
Kitchen taps = 10.00%
Domestic dishwasher = 1.25%
Pre-rinse nozzle )Includes food prep fixed use from taps) = 11.37
Commercial dishwasher = 1.42%
Waste disposal = 4.14%
The above ratios are based on modelling carried out using the BREEAM offices water calculator, assuming a standard office (2000m2) with staff canteen (100m2) with baseline component specification. Office usage data was used as, in-lieu of other general information on the split in consumption by component, it is likely to reflect the split most closely for other types of building (though if other data for a specific building type is available, then this used be used in future versions of this calculator).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Tim Bevan</author>
  </authors>
  <commentList>
    <comment ref="E24" authorId="0" shapeId="0" xr:uid="{00000000-0006-0000-0C00-000001000000}">
      <text>
        <r>
          <rPr>
            <sz val="10"/>
            <color indexed="81"/>
            <rFont val="Tahoma"/>
            <family val="2"/>
          </rPr>
          <t>Enter the number of times that the specified cistern will flush per hour (assuming the default period of operation for the building type, which is given in the relevant calculator).
Where infrared sensing flushing control or some form of mechanical flush control is specified, the frequency must be based on the pre-set flushing frequency (confirmed by the design team or building's end user). 
Alternatively, the flush controllers factory default setting or a default figure necessary to maintain compliance with the Water Supply (Water Fittings) Regulations can be used, as follows: 
7.5 litres/hour/bowl where cistern serves two or more urinal bowls. Or
10 litres/hour/bowl where cistern serves only one urinal bowl.
Where urinals are likely to go longer than 30 minutes without flushing after use it should be confirmed that the urinals bowls are of a type designed for low flushing frequency. 
This is to avoid standard urinals being specified and the flushing frequency being set low to reduce water demand; this can cause hygienic problems and unnecessary maintenance (avoided through proper specification and system set-up).</t>
        </r>
      </text>
    </comment>
    <comment ref="H57" authorId="0" shapeId="0" xr:uid="{00000000-0006-0000-0C00-000002000000}">
      <text>
        <r>
          <rPr>
            <sz val="10"/>
            <color indexed="81"/>
            <rFont val="Tahoma"/>
            <family val="2"/>
          </rPr>
          <t>Note: Where the average flow rate is lower than the proportionate flow rate, the proportionate figure must be used. The proportionate figure limits the flow rate that can be specified to a proportion equal to 70 per cent of the highest flow rate/volume. This reduces the benefit of specifying ultra low fittings to bring the average flow rate, where such ultra low fittings may not be acceptable to the occupants.</t>
        </r>
        <r>
          <rPr>
            <sz val="8"/>
            <color indexed="81"/>
            <rFont val="Tahoma"/>
            <family val="2"/>
          </rPr>
          <t xml:space="preserve">
</t>
        </r>
      </text>
    </comment>
    <comment ref="H59" authorId="0" shapeId="0" xr:uid="{00000000-0006-0000-0C00-000003000000}">
      <text>
        <r>
          <rPr>
            <sz val="10"/>
            <color indexed="81"/>
            <rFont val="Tahoma"/>
            <family val="2"/>
          </rPr>
          <t>Note: Where the average flow rate is lower than the proportionate flow rate, the proportionate figure must be used. The proportionate figure limits the flow rate that can be specified to a proportion equal to 70 per cent of the highest flow rate/volume. This reduces the benefit of specifying ultra low fittings to bring the average flow rate, where such ultra low fittings may not be acceptable to the occupants.</t>
        </r>
        <r>
          <rPr>
            <sz val="8"/>
            <color indexed="81"/>
            <rFont val="Tahoma"/>
            <family val="2"/>
          </rPr>
          <t xml:space="preserve">
</t>
        </r>
      </text>
    </comment>
    <comment ref="H71" authorId="0" shapeId="0" xr:uid="{00000000-0006-0000-0C00-000004000000}">
      <text>
        <r>
          <rPr>
            <sz val="10"/>
            <color indexed="81"/>
            <rFont val="Tahoma"/>
            <family val="2"/>
          </rPr>
          <t>Note: Where the average flow rate is lower than the proportionate flow rate, the proportionate figure must be used. The proportionate figure limits the flow rate that can be specified to a proportion equal to 70 per cent of the highest flow rate/volume. This reduces the benefit of specifying ultra low fittings to bring the average flow rate, where such ultra low fittings may not be acceptable to the occupants.</t>
        </r>
        <r>
          <rPr>
            <sz val="8"/>
            <color indexed="81"/>
            <rFont val="Tahoma"/>
            <family val="2"/>
          </rPr>
          <t xml:space="preserve">
</t>
        </r>
      </text>
    </comment>
    <comment ref="H73" authorId="0" shapeId="0" xr:uid="{00000000-0006-0000-0C00-000005000000}">
      <text>
        <r>
          <rPr>
            <sz val="10"/>
            <color indexed="81"/>
            <rFont val="Tahoma"/>
            <family val="2"/>
          </rPr>
          <t>Note: Where the average flow rate is lower than the proportionate flow rate, the proportionate figure must be used. The proportionate figure limits the flow rate that can be specified to a proportion equal to 70 per cent of the highest flow rate/volume. This reduces the benefit of specifying ultra low fittings to bring the average flow rate, where such ultra low fittings may not be acceptable to the occupants.</t>
        </r>
        <r>
          <rPr>
            <sz val="8"/>
            <color indexed="81"/>
            <rFont val="Tahoma"/>
            <family val="2"/>
          </rPr>
          <t xml:space="preserve">
</t>
        </r>
      </text>
    </comment>
    <comment ref="H85" authorId="0" shapeId="0" xr:uid="{00000000-0006-0000-0C00-000006000000}">
      <text>
        <r>
          <rPr>
            <sz val="10"/>
            <color indexed="81"/>
            <rFont val="Tahoma"/>
            <family val="2"/>
          </rPr>
          <t>Note: Where the average flow rate is lower than the proportionate flow rate, the proportionate figure must be used. The proportionate figure limits the flow rate that can be specified to a proportion equal to 70 per cent of the highest flow rate/volume. This reduces the benefit of specifying ultra low fittings to bring the average flow rate, where such ultra low fittings may not be acceptable to the occupants.</t>
        </r>
        <r>
          <rPr>
            <sz val="8"/>
            <color indexed="81"/>
            <rFont val="Tahoma"/>
            <family val="2"/>
          </rPr>
          <t xml:space="preserve">
</t>
        </r>
      </text>
    </comment>
    <comment ref="H87" authorId="0" shapeId="0" xr:uid="{00000000-0006-0000-0C00-000007000000}">
      <text>
        <r>
          <rPr>
            <sz val="10"/>
            <color indexed="81"/>
            <rFont val="Tahoma"/>
            <family val="2"/>
          </rPr>
          <t>Note: Where the average flow rate is lower than the proportionate flow rate, the proportionate figure must be used. The proportionate figure limits the flow rate that can be specified to a proportion equal to 70 per cent of the highest flow rate/volume. This reduces the benefit of specifying ultra low fittings to bring the average flow rate, where such ultra low fittings may not be acceptable to the occupants.</t>
        </r>
        <r>
          <rPr>
            <sz val="8"/>
            <color indexed="81"/>
            <rFont val="Tahoma"/>
            <family val="2"/>
          </rPr>
          <t xml:space="preserve">
</t>
        </r>
      </text>
    </comment>
    <comment ref="H99" authorId="0" shapeId="0" xr:uid="{00000000-0006-0000-0C00-000008000000}">
      <text>
        <r>
          <rPr>
            <sz val="10"/>
            <color indexed="81"/>
            <rFont val="Tahoma"/>
            <family val="2"/>
          </rPr>
          <t>Note: Where the average flow rate is lower than the proportionate flow rate, the proportionate figure must be used. The proportionate figure limits the flow rate that can be specified to a proportion equal to 70 per cent of the highest flow rate/volume. This reduces the benefit of specifying ultra low fittings to bring the average flow rate, where such ultra low fittings may not be acceptable to the occupants.</t>
        </r>
        <r>
          <rPr>
            <sz val="8"/>
            <color indexed="81"/>
            <rFont val="Tahoma"/>
            <family val="2"/>
          </rPr>
          <t xml:space="preserve">
</t>
        </r>
      </text>
    </comment>
    <comment ref="H101" authorId="0" shapeId="0" xr:uid="{00000000-0006-0000-0C00-000009000000}">
      <text>
        <r>
          <rPr>
            <sz val="10"/>
            <color indexed="81"/>
            <rFont val="Tahoma"/>
            <family val="2"/>
          </rPr>
          <t>Note: Where the average flow rate is lower than the proportionate flow rate, the proportionate figure must be used. The proportionate figure limits the flow rate that can be specified to a proportion equal to 70 per cent of the highest flow rate/volume. This reduces the benefit of specifying ultra low fittings to bring the average flow rate, where such ultra low fittings may not be acceptable to the occupants.</t>
        </r>
        <r>
          <rPr>
            <sz val="8"/>
            <color indexed="81"/>
            <rFont val="Tahoma"/>
            <family val="2"/>
          </rPr>
          <t xml:space="preserve">
</t>
        </r>
      </text>
    </comment>
  </commentList>
</comments>
</file>

<file path=xl/sharedStrings.xml><?xml version="1.0" encoding="utf-8"?>
<sst xmlns="http://schemas.openxmlformats.org/spreadsheetml/2006/main" count="3370" uniqueCount="1027">
  <si>
    <t>Are there other permissible components present which demand greywater and/or rainwater yield?</t>
  </si>
  <si>
    <t>Maximum permissible demand (L/person/day)</t>
  </si>
  <si>
    <t>Proportion of maximum permissible demand utilised by other permissible components (%)</t>
  </si>
  <si>
    <t>Has, or will, the rainwater system be specified and installed in compliance with BS8515:2009 Rainwater Harvesting Systems - Code of practice</t>
  </si>
  <si>
    <t>Water Consumption Calculation Results</t>
  </si>
  <si>
    <t>Total</t>
  </si>
  <si>
    <t>Uni_CommunalArea_Occ_Wk1</t>
  </si>
  <si>
    <t>Uni_DrySptHall_Occ_Wk1</t>
  </si>
  <si>
    <t>Uni_EatDrink_Occ_Wk1</t>
  </si>
  <si>
    <t>Uni_FitGym_Occ_Wk1</t>
  </si>
  <si>
    <t>Uni_FoodPrep_Occ_Wk1</t>
  </si>
  <si>
    <t>Uni_Lecture_Occ_Wk1</t>
  </si>
  <si>
    <t>Uni_HighDensIT_Occ_Wk1</t>
  </si>
  <si>
    <t>Uni_Lab_Occ_Wk1</t>
  </si>
  <si>
    <t>Uni_Laund_Occ_Wk1</t>
  </si>
  <si>
    <t>Uni_Reception_Occ_Wk1</t>
  </si>
  <si>
    <t>Uni_Swim_Occ_Wk1</t>
  </si>
  <si>
    <t>Residents kitchen</t>
  </si>
  <si>
    <t>Uni_Tea_Occ_Wk1</t>
  </si>
  <si>
    <t>Uni_WkshpSS_Occ_Wk1</t>
  </si>
  <si>
    <t>Uni_CellOff_Occ_Wk1</t>
  </si>
  <si>
    <t>Others - Car Parks 24 hrs</t>
  </si>
  <si>
    <t>CarPark_Office_Occ_WK1</t>
  </si>
  <si>
    <t>LibMusGall_Display_Occ_WK1</t>
  </si>
  <si>
    <t>Others - Stand alone utility block</t>
  </si>
  <si>
    <t>Heavy Plant Room</t>
  </si>
  <si>
    <t>24x7 Warehouse storage</t>
  </si>
  <si>
    <t>Ware_24x7WareStore_Occ_Wk1</t>
  </si>
  <si>
    <t>24x7 Generic Office Area</t>
  </si>
  <si>
    <t>Ware_24x7CellOff_Occ_Wk1</t>
  </si>
  <si>
    <t>Ret_DeptStore_Sales_Occ_Wk1</t>
  </si>
  <si>
    <t>RetWarehouse_Sales_Occ_Wk1</t>
  </si>
  <si>
    <t>How has the storage capacity for the proposed system been calculated?</t>
  </si>
  <si>
    <t>Exemplary level</t>
  </si>
  <si>
    <t>Lounges</t>
  </si>
  <si>
    <t>Terminal_Lounge_Occ_Wk1</t>
  </si>
  <si>
    <t>Terminal_FoodPrep_Occ_WK1</t>
  </si>
  <si>
    <t>Terminal_EatDrink_Occ_WK1</t>
  </si>
  <si>
    <t>Terminal_CellOff_Occ_WK1</t>
  </si>
  <si>
    <t>Generic Checkin areas</t>
  </si>
  <si>
    <t>Terminal_Check_Occ_Wk2</t>
  </si>
  <si>
    <t>Others - Emergency services</t>
  </si>
  <si>
    <t>EmgcySvc_Reception_Occ_WK1</t>
  </si>
  <si>
    <t>EmgcySvc_Changing_Occ_WK1</t>
  </si>
  <si>
    <t>EmgcySvc_FoodPrep_Occ_WK1</t>
  </si>
  <si>
    <t>EmgcySvc_DrySpt_Occ_WK1</t>
  </si>
  <si>
    <t>EmgcySvc_EatDrink_Occ_WK1</t>
  </si>
  <si>
    <t>EmgcySvc_Cell_Occ_WK1</t>
  </si>
  <si>
    <t>EmgcySvc_Bed_Occ_WK1</t>
  </si>
  <si>
    <t>EmgcySvc_CellOff_Occ_WK1</t>
  </si>
  <si>
    <t>Others -Telephone exchanges</t>
  </si>
  <si>
    <t>TelExchg_Reception_Occ_WK1</t>
  </si>
  <si>
    <t>TelExchg_CellOff_Occ_WK1</t>
  </si>
  <si>
    <t>Others - Miscellaneous 24hr activities</t>
  </si>
  <si>
    <t>Misc24Hr_DataCentre_Occ_Wk1</t>
  </si>
  <si>
    <t>Server Room</t>
  </si>
  <si>
    <t>Misc24Hr_ServerRoom_Occ_Wk1</t>
  </si>
  <si>
    <t>D1 Non-residential Institutions - Libraries Museums and Galleries</t>
  </si>
  <si>
    <t>LibMusGall_Reception_Occ_WK1</t>
  </si>
  <si>
    <t>LibMusGall_FoodPrep_Occ_WK1</t>
  </si>
  <si>
    <t>LibMusGall_Lecture_Occ_WK1</t>
  </si>
  <si>
    <t>LibMusGall_Lab_Occ_WK1</t>
  </si>
  <si>
    <t>LibMusGall_EatDrink_Occ_WK1</t>
  </si>
  <si>
    <t>LibMusGall_WkshpSS_Occ_WK1</t>
  </si>
  <si>
    <t>Display and Public areas</t>
  </si>
  <si>
    <t>LibMusGall_CirculationPub_Occ_Wk1</t>
  </si>
  <si>
    <t>LibMusGall_CellOff_Occ_WK1</t>
  </si>
  <si>
    <t>D1 Non-residential Institutions - Community/Day Centre</t>
  </si>
  <si>
    <t>DayCtr_Reception_Occ_WK1</t>
  </si>
  <si>
    <t>DayCtr_DrySptHall_Occ_WK1</t>
  </si>
  <si>
    <t>DayCtr_FoodPrep_Occ_WK1</t>
  </si>
  <si>
    <t>DayCtr_EatDrink_Occ_WK1</t>
  </si>
  <si>
    <t>DayCtr_Changing_Occ_WK1</t>
  </si>
  <si>
    <t>DayCtr_WkshpSS_Occ_Wk1</t>
  </si>
  <si>
    <t>DayCtr_Lecture_Occ_WK1</t>
  </si>
  <si>
    <t>DayCtr_CellOff_Occ_WK1</t>
  </si>
  <si>
    <t>D1 Non-residential Institutions - Primary Health Care Building</t>
  </si>
  <si>
    <t>PrmHlthCare_Reception_Occ_WK1</t>
  </si>
  <si>
    <t>PrmHlthCare_CellOff_Occ_WK1</t>
  </si>
  <si>
    <t>Bath</t>
  </si>
  <si>
    <t>Bedroom</t>
  </si>
  <si>
    <t>Baseline 
Performance Specification</t>
  </si>
  <si>
    <t>Baseline Consumption (L/person/day)</t>
  </si>
  <si>
    <t>Urinal consumption (L/day)</t>
  </si>
  <si>
    <t>Urinal consumption (L/bowl/day)</t>
  </si>
  <si>
    <t>Fitness suite/gym</t>
  </si>
  <si>
    <t>Fitness Studio</t>
  </si>
  <si>
    <t>Flushing frequency (flushes/hour)</t>
  </si>
  <si>
    <t>No. of urinal bowls</t>
  </si>
  <si>
    <t>Waterless urinals (all activity areas)</t>
  </si>
  <si>
    <t>Urinal component - all activity areas</t>
  </si>
  <si>
    <t>Ice rink</t>
  </si>
  <si>
    <t>Classroom</t>
  </si>
  <si>
    <t>Tap components (cleaning and food preparation) - canteen/restaurant</t>
  </si>
  <si>
    <t>Kitchen taps - kitchenette</t>
  </si>
  <si>
    <t>Waste disposal unit</t>
  </si>
  <si>
    <t>Kitchen taps - kitchenette mins/day</t>
  </si>
  <si>
    <t>Waste dispoal unit</t>
  </si>
  <si>
    <t>Kitchen taps - pre-rinse nozzle</t>
  </si>
  <si>
    <t>blank column</t>
  </si>
  <si>
    <t>blank</t>
  </si>
  <si>
    <t>see usage factor</t>
  </si>
  <si>
    <t>Volume (litres/rack)</t>
  </si>
  <si>
    <t>Litres/rack</t>
  </si>
  <si>
    <t>Eating/drinking area</t>
  </si>
  <si>
    <t>Display area</t>
  </si>
  <si>
    <t>Workshop - small scale</t>
  </si>
  <si>
    <t>Other - Emergency services</t>
  </si>
  <si>
    <t>Other - Bus/train stations</t>
  </si>
  <si>
    <t>Fixed use - vessel filling</t>
  </si>
  <si>
    <t>Fixed use - kitchen cleaning</t>
  </si>
  <si>
    <t>Washing machine</t>
  </si>
  <si>
    <t>Fixed use - food preparation</t>
  </si>
  <si>
    <t>Dishwasher - staff kitchenette</t>
  </si>
  <si>
    <t>Dishwasher - food preparation area</t>
  </si>
  <si>
    <t>Greywater source (building components)</t>
  </si>
  <si>
    <t>Domestic Kitchen</t>
  </si>
  <si>
    <t>Domestic Lounge</t>
  </si>
  <si>
    <t>Domestic Circulation</t>
  </si>
  <si>
    <t>List of activities and daily schedules per week type</t>
  </si>
  <si>
    <t>These are the daily schedules for the Activities listed in the activities Database as per 11/08/10.</t>
  </si>
  <si>
    <t>The Week Type identifies potential differences in Monday schedules for different weeks of the year with different patterns of occupancy (e.g. schools full time and schools summer periods).</t>
  </si>
  <si>
    <t>Week 1 (WK1) normally identifies standard operation (working weeks)</t>
  </si>
  <si>
    <t>B1 Offices and Workshop businesses</t>
  </si>
  <si>
    <t>Office_Reception_Occ_WK1</t>
  </si>
  <si>
    <t>Office_OpenOff_Occ_WK1</t>
  </si>
  <si>
    <t>Office_FitGym_Occ_Wk1</t>
  </si>
  <si>
    <t>Changing facilities with showers</t>
  </si>
  <si>
    <t>Office_Changing_Occ_WK1</t>
  </si>
  <si>
    <t>Office_FoodPrep_Occ_WK1</t>
  </si>
  <si>
    <t>Office_EatDrink_Occ_WK1</t>
  </si>
  <si>
    <t>Office_WkshpSS_Occ_Wk1</t>
  </si>
  <si>
    <t>A1/A2 Retail and Financial/Professional services</t>
  </si>
  <si>
    <t>Office_Laund_Occ_Wk1</t>
  </si>
  <si>
    <t>Assembly areas / halls</t>
  </si>
  <si>
    <t>C1 Hotels</t>
  </si>
  <si>
    <t>Hotel_Lecture_Occ_WK1</t>
  </si>
  <si>
    <t>Hotel_Bed_Occ_WK1</t>
  </si>
  <si>
    <t>Hotel_Changing_Occ_WK1</t>
  </si>
  <si>
    <t>Hotel_FoodPrep_Occ_WK1</t>
  </si>
  <si>
    <t>Hotel_EatDrink_Occ_WK1</t>
  </si>
  <si>
    <t>Hotel_FitGym_Occ_Wk1</t>
  </si>
  <si>
    <t>Hotel_Laund_Occ_Wk1</t>
  </si>
  <si>
    <t>Hotel_Reception_Occ_WK1</t>
  </si>
  <si>
    <t>Hotel_Swim_Occ_WK1</t>
  </si>
  <si>
    <t>Hotel_DrySptHall_Occ_WK1</t>
  </si>
  <si>
    <t>Hotel_CellOff_Occ_WK1</t>
  </si>
  <si>
    <t>Building category and main activity area/function</t>
  </si>
  <si>
    <t>Microcomponent Performance Levels for BREEAM water consumption method benchmarking</t>
  </si>
  <si>
    <t>Hotel - Bedroom</t>
  </si>
  <si>
    <t>Hotel - Staff</t>
  </si>
  <si>
    <t>Occupant density  (person/room)</t>
  </si>
  <si>
    <t>Hotel - restaurant</t>
  </si>
  <si>
    <t>Component uses/person/day (unless stated differently for specific uses or activity areas)</t>
  </si>
  <si>
    <t>kg/ room/ night</t>
  </si>
  <si>
    <t>Volume (litres/cycle)</t>
  </si>
  <si>
    <t>Percentage improvement</t>
  </si>
  <si>
    <t>Units</t>
  </si>
  <si>
    <t>Type</t>
  </si>
  <si>
    <t>User</t>
  </si>
  <si>
    <t>Staff</t>
  </si>
  <si>
    <t>Proportion of components using greywater and/or rainwater yield (%)</t>
  </si>
  <si>
    <t>Rainwater yield if detailed:</t>
  </si>
  <si>
    <t>Restaurants and cafés</t>
  </si>
  <si>
    <t>Care home</t>
  </si>
  <si>
    <t>Sheltered accommodation</t>
  </si>
  <si>
    <t>Hall of residence</t>
  </si>
  <si>
    <t>Prison houseblock</t>
  </si>
  <si>
    <t>Greywater source (other components)</t>
  </si>
  <si>
    <t>Proportion of components collected from (%)</t>
  </si>
  <si>
    <t>Post Mortem Facility</t>
  </si>
  <si>
    <t>Office</t>
  </si>
  <si>
    <t>Hall/lecture theatre/assembly area</t>
  </si>
  <si>
    <t>Performance area (stage)</t>
  </si>
  <si>
    <t>Warehouse sales area - electrical</t>
  </si>
  <si>
    <t>A4 Drinking establishments</t>
  </si>
  <si>
    <t>A5 Hot food takeaways</t>
  </si>
  <si>
    <t>Other - Petrol stations</t>
  </si>
  <si>
    <t>Other - Hostel</t>
  </si>
  <si>
    <t>B1 Business - Workshop/light industry</t>
  </si>
  <si>
    <t>B2 General industrial - process/manufacturing unit</t>
  </si>
  <si>
    <t>B8 Storage or distribution - Warehouse unit</t>
  </si>
  <si>
    <t>C1 Boarding and guest houses</t>
  </si>
  <si>
    <t>C2A Secure Residential Institution - Secure local authority accommodation</t>
  </si>
  <si>
    <t>C2A Secure Residential Institution - Military barracks</t>
  </si>
  <si>
    <t>D1 Non-residential Institutions - Library</t>
  </si>
  <si>
    <t>D1 Non-residential Institutions - Museum or Gallery</t>
  </si>
  <si>
    <t>D1 Non-residential Institutions - Community centre, day centre or place of worship</t>
  </si>
  <si>
    <t>D1 Non-residential Institutions - Creche</t>
  </si>
  <si>
    <t>D1 Non-residential Institutions - School</t>
  </si>
  <si>
    <t>D1 Non-residential Institutions - Further/ Higher education building or training centre</t>
  </si>
  <si>
    <t>D2 General Assembly and Leisure - Theatre or cinema</t>
  </si>
  <si>
    <t>D2 General Assembly and Leisure -Swimming pool</t>
  </si>
  <si>
    <t>D2 General Assembly and Leisure - Night Club or dance hall</t>
  </si>
  <si>
    <t>Other - Launderette</t>
  </si>
  <si>
    <t>Other - Stand alone utility block</t>
  </si>
  <si>
    <t>Other - Car Parks 24 hrs</t>
  </si>
  <si>
    <t>Other - Telephone exchanges</t>
  </si>
  <si>
    <t>A3/A4/A5 Restaurant and Cafes/Drinking Establishments and Hot Food takeaways</t>
  </si>
  <si>
    <t>RestPub_EatDrink_Occ_WK1</t>
  </si>
  <si>
    <t>RestPub_FoodPrep_Occ_WK1</t>
  </si>
  <si>
    <t>RestPub_Stage_Occ_WK1</t>
  </si>
  <si>
    <t>RestPub_CellOff_Occ_WK1</t>
  </si>
  <si>
    <t>B2 to B7 General Industrial and Special Industrial Groups</t>
  </si>
  <si>
    <t>Indust_EatDrink_Occ_WK1</t>
  </si>
  <si>
    <t>Indust_FoodPrep_Occ_WK1</t>
  </si>
  <si>
    <t>Indust_IndProcess_Occ_Wk1</t>
  </si>
  <si>
    <t>Indust_Lab_Occ_WK1</t>
  </si>
  <si>
    <t>Indust_Reception_Occ_WK1</t>
  </si>
  <si>
    <t>Indust_WareStore_Occ_Wk1</t>
  </si>
  <si>
    <t>Indust_CellOff_Occ_WK1</t>
  </si>
  <si>
    <t>B8 Storage or Distribution</t>
  </si>
  <si>
    <t>Ware_FoodPrep_Occ_Wk1</t>
  </si>
  <si>
    <t>Ware_EatDrink_Occ_Wk1
Ware_EatDrink_Wk1</t>
  </si>
  <si>
    <t>Ware_Reception_Occ_WK1</t>
  </si>
  <si>
    <t>Ware_WareStore_Occ_Wk1</t>
  </si>
  <si>
    <t>Ware_Changing_Occ_WK1</t>
  </si>
  <si>
    <t>Ware_CellOff_Occ_Wk1</t>
  </si>
  <si>
    <t>Ret_FoodPrep_Occ_Wk1</t>
  </si>
  <si>
    <t>Ret_EatDrink_Occ_Wk1
Ret_EatDrink_Wk1</t>
  </si>
  <si>
    <t>Ret_Sales_Occ_Wk1</t>
  </si>
  <si>
    <t>Ret_CellOff_Occ_Wk1</t>
  </si>
  <si>
    <t>Residential spaces</t>
  </si>
  <si>
    <t>Dwell_DomLounge_Occ_Wk1</t>
  </si>
  <si>
    <t>Dwell_DomBed_Occ_Wk1</t>
  </si>
  <si>
    <t>Dwell_DomDining_Occ_Wk1</t>
  </si>
  <si>
    <t>Dwell_DomKitchen_Occ_Wk1</t>
  </si>
  <si>
    <t>C2 Residential Institutions - Hospitals and Care Homes</t>
  </si>
  <si>
    <t>Hosp_Reception_Occ_WK1</t>
  </si>
  <si>
    <t>Hosp_PostMortem_Occ_WK1</t>
  </si>
  <si>
    <t>Hosp_EatDrink_Occ_WK1</t>
  </si>
  <si>
    <t>Hosp_FoodPrep_Occ_WK1</t>
  </si>
  <si>
    <t>Hosp_Physiotherapy_Occ_Wk1</t>
  </si>
  <si>
    <t>Hosp_Bed_Occ_WK1</t>
  </si>
  <si>
    <t>Hosp_Laund_Occ_Wk1</t>
  </si>
  <si>
    <t>24 hrs Consulting/treatment areas</t>
  </si>
  <si>
    <t>Hosp_AEConsRm_Occ_WK1</t>
  </si>
  <si>
    <t>Hosp_Lecture_Occ_WK1</t>
  </si>
  <si>
    <t>Hosp_Hydrotherapy_Occ_WK1</t>
  </si>
  <si>
    <t>Hosp_IndProcess_Occ_Wk1</t>
  </si>
  <si>
    <t>Hosp_Lab_Occ_WK1</t>
  </si>
  <si>
    <t>Hosp_OpTheatre_Occ_WK1</t>
  </si>
  <si>
    <t>Hosp_Changing_Occ_WK1</t>
  </si>
  <si>
    <t>Hosp_ClassRm_Occ_Wk1</t>
  </si>
  <si>
    <t>Hosp_Diagnostic_Occ_WK1</t>
  </si>
  <si>
    <t>Generic Ward</t>
  </si>
  <si>
    <t>Hosp_WardPatients_Occ_WK1</t>
  </si>
  <si>
    <t>Office and consulting areas</t>
  </si>
  <si>
    <t>Hosp_CellOff_Occ_WK1</t>
  </si>
  <si>
    <t>Others - Passenger terminals</t>
  </si>
  <si>
    <t>Terminal_Reception_Occ_WK1</t>
  </si>
  <si>
    <t>Waiting Rooms</t>
  </si>
  <si>
    <t>Terminal_WaitRm_Occ_WK1</t>
  </si>
  <si>
    <t>Prison_CellOff_Occ_WK1</t>
  </si>
  <si>
    <t>Prison_FoodPrep_Occ_WK1</t>
  </si>
  <si>
    <t>C2 Residential Institutions - Residential schools</t>
  </si>
  <si>
    <t>C2_Schools_EatDrink_Occ_WK1</t>
  </si>
  <si>
    <t>C2_Schools_FoodPrep_Occ_WK1</t>
  </si>
  <si>
    <t>C2_Schools_Bed_Occ_Wk2</t>
  </si>
  <si>
    <t>Residents common rooms</t>
  </si>
  <si>
    <t>C2_Schools_CommunalArea_Occ_Wk1</t>
  </si>
  <si>
    <t>C2_Schools_Laund_Occ_WK1</t>
  </si>
  <si>
    <t>C2 Residential Institutions - Universities and colleges</t>
  </si>
  <si>
    <t>Uni_Bed_Occ_Wk2</t>
  </si>
  <si>
    <t>Uni_Changing_Occ_Wk1</t>
  </si>
  <si>
    <t>Uni_ClassRm_Occ_Wk2</t>
  </si>
  <si>
    <t>Uni_ClassRm_Occ_Wk1</t>
  </si>
  <si>
    <t>Operating theatre</t>
  </si>
  <si>
    <t>Hotels</t>
  </si>
  <si>
    <t>WC flushing</t>
  </si>
  <si>
    <t>Urinal flushing</t>
  </si>
  <si>
    <t>Showers (bath present) mins/use</t>
  </si>
  <si>
    <t>Showers (no bath present) - mins/use</t>
  </si>
  <si>
    <t>Food preparation area</t>
  </si>
  <si>
    <t>Cell (police/prison)</t>
  </si>
  <si>
    <t>Laundry</t>
  </si>
  <si>
    <t>Warehouse storage</t>
  </si>
  <si>
    <t>Urinals</t>
  </si>
  <si>
    <t>Basin taps</t>
  </si>
  <si>
    <t>WCs</t>
  </si>
  <si>
    <t>N/A</t>
  </si>
  <si>
    <t>WC</t>
  </si>
  <si>
    <t>Urinal</t>
  </si>
  <si>
    <t>Taps</t>
  </si>
  <si>
    <t>Usage factor</t>
  </si>
  <si>
    <t>Gender ratio</t>
  </si>
  <si>
    <t>Reception</t>
  </si>
  <si>
    <t>Physiotherapy Studio</t>
  </si>
  <si>
    <t>Hospital</t>
  </si>
  <si>
    <t>h00</t>
  </si>
  <si>
    <t>h01</t>
  </si>
  <si>
    <t>h02</t>
  </si>
  <si>
    <t>h03</t>
  </si>
  <si>
    <t>h04</t>
  </si>
  <si>
    <t>h05</t>
  </si>
  <si>
    <t>h06</t>
  </si>
  <si>
    <t>h07</t>
  </si>
  <si>
    <t>h08</t>
  </si>
  <si>
    <t>h09</t>
  </si>
  <si>
    <t>h10</t>
  </si>
  <si>
    <t>h11</t>
  </si>
  <si>
    <t>h12</t>
  </si>
  <si>
    <t>h13</t>
  </si>
  <si>
    <t>h14</t>
  </si>
  <si>
    <t>h15</t>
  </si>
  <si>
    <t>h16</t>
  </si>
  <si>
    <t>h17</t>
  </si>
  <si>
    <t>h18</t>
  </si>
  <si>
    <t>h19</t>
  </si>
  <si>
    <t>h20</t>
  </si>
  <si>
    <t>h21</t>
  </si>
  <si>
    <t>h22</t>
  </si>
  <si>
    <t>h23</t>
  </si>
  <si>
    <t>Hydrotherapy pool hall</t>
  </si>
  <si>
    <t>D1 Non-residential Institutions - Crown and County Courts</t>
  </si>
  <si>
    <t>Court_Reception_Occ_WK1</t>
  </si>
  <si>
    <t>Court_FoodPrep_Occ_WK1</t>
  </si>
  <si>
    <t>Court_Lecture_Occ_WK1</t>
  </si>
  <si>
    <t>Court_EatDrink_Occ_WK1</t>
  </si>
  <si>
    <t>Court_Cell_Occ_WK1</t>
  </si>
  <si>
    <t>D2 General Assembly and Leisure plus Night Clubs and Theatres</t>
  </si>
  <si>
    <t>D2_Changing_Occ_WK1</t>
  </si>
  <si>
    <t>D2_DrySptHall_Occ_WK1</t>
  </si>
  <si>
    <t>D2_EatDrink_Occ_WK1</t>
  </si>
  <si>
    <t>D2_FitStud_Occ_Wk1</t>
  </si>
  <si>
    <t>D2_FitGym_Occ_Wk1</t>
  </si>
  <si>
    <t>D2_FoodPrep_Occ_WK1</t>
  </si>
  <si>
    <t>D2_Lecture_Occ_WK1</t>
  </si>
  <si>
    <t>Auditoria</t>
  </si>
  <si>
    <t>D2_Auditoria_Occ_WK1</t>
  </si>
  <si>
    <t>D2_IceRink_Occ_WK1</t>
  </si>
  <si>
    <t>D2_Laund_Occ_Wk1</t>
  </si>
  <si>
    <t>D2_Stage_Occ_WK1</t>
  </si>
  <si>
    <t>D2_Reception_Occ_WK1</t>
  </si>
  <si>
    <t>D2_Sales_Occ_WK1</t>
  </si>
  <si>
    <t>D2_Swim_Occ_WK1</t>
  </si>
  <si>
    <t>D2_WkshpSS_Occ_WK1</t>
  </si>
  <si>
    <t>D2_CellOff_Occ_WK1</t>
  </si>
  <si>
    <t>D1 Non-residential Institutions - Education</t>
  </si>
  <si>
    <t>D1_Edu_Changing_Occ_WK1</t>
  </si>
  <si>
    <t>D1_Edu_DrySptHall_Occ_WK1</t>
  </si>
  <si>
    <t>D1_Edu_EatDrink_Occ_WK1</t>
  </si>
  <si>
    <t>D1_Edu_FoodPrep_Occ_WK1</t>
  </si>
  <si>
    <t>D1_Edu_Lecture_Occ_WK1</t>
  </si>
  <si>
    <t>Computer lab</t>
  </si>
  <si>
    <t>D1_Edu_HighDensIT_Occ_Wk2</t>
  </si>
  <si>
    <t>D1_Edu_HighDensIT_Occ_Wk1</t>
  </si>
  <si>
    <t>D1_Edu_Lab_Occ_WK1</t>
  </si>
  <si>
    <t>D1_Edu_Reception_Occ_WK1</t>
  </si>
  <si>
    <t>D1_Edu_Swim_Occ_WK1</t>
  </si>
  <si>
    <t>D1_Edu_WkshpSS_Occ_Wk1</t>
  </si>
  <si>
    <t>D1_Edu_ClassRm_Occ_WK1</t>
  </si>
  <si>
    <t>D1_Edu_CellOff_Occ_WK1</t>
  </si>
  <si>
    <t>C2A Secure Residential Institutions</t>
  </si>
  <si>
    <t>Prison_Cell_Occ_WK1</t>
  </si>
  <si>
    <t>Prison_Reception_Occ_WK1</t>
  </si>
  <si>
    <t>Prison_DrySptHall_Occ_WK1</t>
  </si>
  <si>
    <t>Prison_Changing_Occ_WK1</t>
  </si>
  <si>
    <t>Prison_Lecture_Occ_WK1</t>
  </si>
  <si>
    <t>Prison_EatDrink_Occ_WK1</t>
  </si>
  <si>
    <t>Prison_WkshpSS_Occ_WK1</t>
  </si>
  <si>
    <t>Prison_Laund_Occ_Wk1</t>
  </si>
  <si>
    <t>Prison_FitGym_Occ_Wk1</t>
  </si>
  <si>
    <t>Prison_ClassRm_Occ_WK1</t>
  </si>
  <si>
    <t>Industrial process area</t>
  </si>
  <si>
    <t>Laboratory</t>
  </si>
  <si>
    <t>Swimming pool</t>
  </si>
  <si>
    <t>Dry sports hall</t>
  </si>
  <si>
    <t>OCCUPANCY_DENS</t>
  </si>
  <si>
    <t>Circulation area (corridors and stairways) - non public</t>
  </si>
  <si>
    <t>Toilet</t>
  </si>
  <si>
    <t>Domestic Toilet</t>
  </si>
  <si>
    <t>Domestic Bedroom</t>
  </si>
  <si>
    <t>Domestic Bathroom</t>
  </si>
  <si>
    <t>Domestic Dining room</t>
  </si>
  <si>
    <t>Public circulation areas</t>
  </si>
  <si>
    <t>Building Type</t>
  </si>
  <si>
    <t>Diagnostic Imaging</t>
  </si>
  <si>
    <t>Usage/person/day</t>
  </si>
  <si>
    <t>Retail - Goods-in and storage area</t>
  </si>
  <si>
    <t>Restaurants and cafés - Eating and drinking area</t>
  </si>
  <si>
    <t>Restaurants and cafés - Food preparation area</t>
  </si>
  <si>
    <t>Restaurants and cafés - Office area</t>
  </si>
  <si>
    <t>Baseline</t>
  </si>
  <si>
    <t>Component</t>
  </si>
  <si>
    <t>Unit</t>
  </si>
  <si>
    <t>Litres/person/day</t>
  </si>
  <si>
    <t>Dishwasher</t>
  </si>
  <si>
    <t>Default daily hours of operation</t>
  </si>
  <si>
    <t>default daily hrs of operation</t>
  </si>
  <si>
    <t>Default occupancy rate</t>
  </si>
  <si>
    <t>Usage factors</t>
  </si>
  <si>
    <t>Wash hand basin taps</t>
  </si>
  <si>
    <t>Wash hand basin taps (mins/use)</t>
  </si>
  <si>
    <t>Shower use (bath present)</t>
  </si>
  <si>
    <t>WC (factor of use</t>
  </si>
  <si>
    <t>Consumption (L/person/day)</t>
  </si>
  <si>
    <t>Showers</t>
  </si>
  <si>
    <t>Other source of greywater</t>
  </si>
  <si>
    <t>Has, or will, the greywater system be specified and installed in compliance with BS8525-1:2010 Greywater Systems - Part 1 Code of Practice</t>
  </si>
  <si>
    <t>Hydraulic filter efficiency (%)</t>
  </si>
  <si>
    <t>Rainfall 
(average mm/yr)</t>
  </si>
  <si>
    <t>BS8515 Intermediate approach</t>
  </si>
  <si>
    <t>Daily rainfall collection (litres)</t>
  </si>
  <si>
    <t>D2 General Assembly and Leisure - leisure centre/gym</t>
  </si>
  <si>
    <t>Occupant density (person/m2)</t>
  </si>
  <si>
    <t>Bath use (shower present)</t>
  </si>
  <si>
    <t xml:space="preserve">Bath use (no shower present) </t>
  </si>
  <si>
    <t>Ratio male users</t>
  </si>
  <si>
    <t>Ratio female users</t>
  </si>
  <si>
    <t>Bath (No shower present) ratio</t>
  </si>
  <si>
    <t>Urinals (factor of use)</t>
  </si>
  <si>
    <t>Description</t>
  </si>
  <si>
    <t>They correspond to the daily schedule for Mondays.</t>
  </si>
  <si>
    <t>Activity ID</t>
  </si>
  <si>
    <t>Activity Name</t>
  </si>
  <si>
    <t>WEEKLY_SCHEDULE</t>
  </si>
  <si>
    <t>Week Type</t>
  </si>
  <si>
    <t>Cupboard</t>
  </si>
  <si>
    <t>Office_Store_Occ_WK1</t>
  </si>
  <si>
    <t>Circulation area (corridors and stairways)</t>
  </si>
  <si>
    <t>Office_Circulation_Occ_WK1</t>
  </si>
  <si>
    <t>Office_Toilet_Occ_WK1</t>
  </si>
  <si>
    <t>Light plant room</t>
  </si>
  <si>
    <t>Office_Plant_Occ_WK1</t>
  </si>
  <si>
    <t>Generic Office Area</t>
  </si>
  <si>
    <t>Bedroom unit</t>
  </si>
  <si>
    <t>Hotel_Circulation_Occ_WK1</t>
  </si>
  <si>
    <t>Hotel_Plant_Occ_WK1</t>
  </si>
  <si>
    <t>Hotel_Toilet_Occ_WK1</t>
  </si>
  <si>
    <t>Hotel_Store_Occ_WK1</t>
  </si>
  <si>
    <t>RestPub_Circulation_Occ_WK1</t>
  </si>
  <si>
    <t>RestPub_Store_Occ_WK1</t>
  </si>
  <si>
    <t>RestPub_Plant_Occ_WK1</t>
  </si>
  <si>
    <t>RestPub_Toilet_Occ_WK1</t>
  </si>
  <si>
    <t>Indust_Circulation_Occ_WK1</t>
  </si>
  <si>
    <t>Indust_Plant_Occ_WK1</t>
  </si>
  <si>
    <t>Indust_Store_Occ_WK1</t>
  </si>
  <si>
    <t>Indust_Toilet_Occ_WK1</t>
  </si>
  <si>
    <t>Ware_Circulation_Occ_Wk1</t>
  </si>
  <si>
    <t>Ware_Plant_Occ_Wk1</t>
  </si>
  <si>
    <t>Ware_Store_Occ_Wk1</t>
  </si>
  <si>
    <t>Ware_Toilet_Occ_Wk1</t>
  </si>
  <si>
    <t>Ret_Circulation_Occ_Wk1</t>
  </si>
  <si>
    <t>Ret_Plant_Occ_Wk1</t>
  </si>
  <si>
    <t>Ret_SalesChill_Occ_Wk1</t>
  </si>
  <si>
    <t>Ret_SalesElectric_Occ_Wk1</t>
  </si>
  <si>
    <t>Ret_Store_Occ_Wk1</t>
  </si>
  <si>
    <t>Ret_Toilet_Occ_Wk1</t>
  </si>
  <si>
    <t>Dwell_DomToilet_Occ_Wk1</t>
  </si>
  <si>
    <t>Dwell_DomCirculation_Occ_Wk1</t>
  </si>
  <si>
    <t>Dwell_DomBath_Occ_Wk1</t>
  </si>
  <si>
    <t>Dwell_DomCommonAreas_Occ_Wk1</t>
  </si>
  <si>
    <t>Hosp_Store_Occ_WK1</t>
  </si>
  <si>
    <t>Circulation area (corridors and stairways) - non-public/restricted</t>
  </si>
  <si>
    <t>Hosp_Circulation_Occ_WK1</t>
  </si>
  <si>
    <t>Hosp_Toilet_Occ_WK1</t>
  </si>
  <si>
    <t>Hosp_Plant_Occ_WK1</t>
  </si>
  <si>
    <t>Bedroom Unit</t>
  </si>
  <si>
    <t>Bathroom</t>
  </si>
  <si>
    <t>Hosp_Bath_Occ_WK1</t>
  </si>
  <si>
    <t>Terminal_Circulation_Occ_WK1</t>
  </si>
  <si>
    <t>Terminal_Plant_Occ_WK1</t>
  </si>
  <si>
    <t>Terminal_Store_Occ_WK1</t>
  </si>
  <si>
    <t>Terminal_Toilet_Occ_WK1</t>
  </si>
  <si>
    <t>Uni_DrySptHall_Occ_Wk2</t>
  </si>
  <si>
    <t>Uni_EatDrink_Occ_Wk2</t>
  </si>
  <si>
    <t>Uni_FitGym_Occ_Wk2</t>
  </si>
  <si>
    <t>Uni_FoodPrep_Occ_Wk2</t>
  </si>
  <si>
    <t>Uni_Lecture_Occ_Wk2</t>
  </si>
  <si>
    <t>Uni_HighDensIT_Occ_Wk2</t>
  </si>
  <si>
    <t>Uni_Lab_Occ_Wk2</t>
  </si>
  <si>
    <t>Uni_Plant_Occ_Wk1</t>
  </si>
  <si>
    <t>Uni_Plant_Occ_Wk2</t>
  </si>
  <si>
    <t>Uni_Reception_Occ_Wk2</t>
  </si>
  <si>
    <t>Uni_Store_Occ_Wk1</t>
  </si>
  <si>
    <t>Uni_Store_Occ_Wk2</t>
  </si>
  <si>
    <t>Uni_Swim_Occ_Wk2</t>
  </si>
  <si>
    <t>Uni_Tea_Occ_Wk2</t>
  </si>
  <si>
    <t>Uni_Toilet_Occ_Wk1</t>
  </si>
  <si>
    <t>Uni_Toilet_Occ_Wk2</t>
  </si>
  <si>
    <t>Uni_WkshpSS_Occ_Wk2</t>
  </si>
  <si>
    <t>Uni_CellOff_Occ_Wk2</t>
  </si>
  <si>
    <t>Hotel_Bath_Occ_WK1</t>
  </si>
  <si>
    <t>Hosp_CirculationPub_Occ_Wk1</t>
  </si>
  <si>
    <t>CarPark_Circulation_Occ_WK1</t>
  </si>
  <si>
    <t>CarPark_Plant_Occ_WK1</t>
  </si>
  <si>
    <t>CarPark_Toilet_Occ_WK1</t>
  </si>
  <si>
    <t>Car Park</t>
  </si>
  <si>
    <t>CarPark_CarPark_Occ_WK1</t>
  </si>
  <si>
    <t>Ret_CarPark_Occ_WK1</t>
  </si>
  <si>
    <t>Office_CarPark_Occ_WK1</t>
  </si>
  <si>
    <t>Ret_Display_Occ_Wk1</t>
  </si>
  <si>
    <t>Ret_DeptStore_SalesChill_Occ_Wk1</t>
  </si>
  <si>
    <t>Ret_DeptStore_SalesElectric_Occ_Wk1</t>
  </si>
  <si>
    <t>RetWarehouse_SalesChill_Occ_Wk1</t>
  </si>
  <si>
    <t>RetWarehouse_SalesElectric_Occ_Wk1</t>
  </si>
  <si>
    <t>Bath (shower present) ratio</t>
  </si>
  <si>
    <t>Other - motor vehicle showroom</t>
  </si>
  <si>
    <t>Seated areas that accompany a food preparation areas where food and drink is consumed by customers on the premises (includes customer service/counter areas)</t>
  </si>
  <si>
    <t>Building occupation data</t>
  </si>
  <si>
    <t>No. days/yr building occupied</t>
  </si>
  <si>
    <t>Activity area present in building?</t>
  </si>
  <si>
    <t>0 credits</t>
  </si>
  <si>
    <t>1 credit</t>
  </si>
  <si>
    <t>2 credits</t>
  </si>
  <si>
    <t>3 credits</t>
  </si>
  <si>
    <t>4 credits</t>
  </si>
  <si>
    <t>5 credits</t>
  </si>
  <si>
    <t>Greywater/rainwater system</t>
  </si>
  <si>
    <t>Level 5</t>
  </si>
  <si>
    <t>Level 4</t>
  </si>
  <si>
    <t>Level 3</t>
  </si>
  <si>
    <t>Level 2</t>
  </si>
  <si>
    <t>Level 1</t>
  </si>
  <si>
    <t>Waterless urinals - specified</t>
  </si>
  <si>
    <t>Waterless urinals - not specified</t>
  </si>
  <si>
    <t>Baseline Performance Specification</t>
  </si>
  <si>
    <t>WC - female</t>
  </si>
  <si>
    <t>WC - male (urinals installed)</t>
  </si>
  <si>
    <t>WC - male (no urinals installed)</t>
  </si>
  <si>
    <t>-</t>
  </si>
  <si>
    <t>Yes</t>
  </si>
  <si>
    <t>No</t>
  </si>
  <si>
    <t>units</t>
  </si>
  <si>
    <t>Effective flush volume (Litres)</t>
  </si>
  <si>
    <t>Flow rate (litres/min)</t>
  </si>
  <si>
    <t>Capacity to overflow (Litres)</t>
  </si>
  <si>
    <t>Litres/kg dry load</t>
  </si>
  <si>
    <t>Greywater Collected</t>
  </si>
  <si>
    <t>BS8515 Detailed approach</t>
  </si>
  <si>
    <t>Collection area (m2)</t>
  </si>
  <si>
    <t>Volume (litres/bowl/hour)</t>
  </si>
  <si>
    <t>Common circulation areas</t>
  </si>
  <si>
    <t>Data Centre</t>
  </si>
  <si>
    <t>Litres/cycle</t>
  </si>
  <si>
    <t>WC component - all activity areas</t>
  </si>
  <si>
    <t xml:space="preserve">Taps  components (personal hygiene) - all activity areas </t>
  </si>
  <si>
    <t>Tap components (cleaning) - staff kitchenette</t>
  </si>
  <si>
    <t>Flush volume (litres)</t>
  </si>
  <si>
    <t>Terminal_Toilet_Occ_Wk2</t>
  </si>
  <si>
    <t>Terminal_Lounge_Occ_Wk2</t>
  </si>
  <si>
    <t>Terminal_Check_Occ_Wk1</t>
  </si>
  <si>
    <t>EmgcySvc_Store_Occ_WK1</t>
  </si>
  <si>
    <t>EmgcySvc_Circulation_Occ_WK1</t>
  </si>
  <si>
    <t>EmgcySvc_Toilet_Occ_WK1</t>
  </si>
  <si>
    <t>EmgcySvc_Plant_Occ_WK1</t>
  </si>
  <si>
    <t>EmgcySvc_Bath_Occ_WK1</t>
  </si>
  <si>
    <t>TelExchg_Circulation_Occ_WK1</t>
  </si>
  <si>
    <t>TelExchg_Toilet_Occ_WK1</t>
  </si>
  <si>
    <t>TelExchg_Plant_Occ_WK1</t>
  </si>
  <si>
    <t>TelExchg_Store_Occ_WK1</t>
  </si>
  <si>
    <t>LibMusGall_Store_Occ_WK1</t>
  </si>
  <si>
    <t>LibMusGall_Circulation_Occ_WK1</t>
  </si>
  <si>
    <t>LibMusGall_Toilet_Occ_WK1</t>
  </si>
  <si>
    <t>LibMusGall_Plant_Occ_WK1</t>
  </si>
  <si>
    <t>DayCtr_Store_Occ_WK1</t>
  </si>
  <si>
    <t>DayCtr_Circulation_Occ_WK1</t>
  </si>
  <si>
    <t>DayCtr_Toilet_Occ_WK1</t>
  </si>
  <si>
    <t>DayCtr_Plant_Occ_WK1</t>
  </si>
  <si>
    <t>PrmHlthCare_Store_Occ_WK1</t>
  </si>
  <si>
    <t>PrmHlthCare_Circulation_Occ_WK1</t>
  </si>
  <si>
    <t>PrmHlthCare_Toilet_Occ_WK1</t>
  </si>
  <si>
    <t>PrmHlthCare_Plant_Occ_WK1</t>
  </si>
  <si>
    <t>Court_Store_Occ_WK1</t>
  </si>
  <si>
    <t>Court_Circulation_Occ_WK1</t>
  </si>
  <si>
    <t>Court_Toilet_Occ_WK1</t>
  </si>
  <si>
    <t>Court_Plant_Occ_WK1</t>
  </si>
  <si>
    <t>D2_Circulation_Occ_WK1</t>
  </si>
  <si>
    <t>D2_Plant_Occ_WK1</t>
  </si>
  <si>
    <t>D2_CirculationPub_Occ_Wk1</t>
  </si>
  <si>
    <t>Sales area - general</t>
  </si>
  <si>
    <t>D2_Store_Occ_WK1</t>
  </si>
  <si>
    <t>D2_Swim_Occ_Wk2</t>
  </si>
  <si>
    <t>D2_Toilet_Occ_WK1</t>
  </si>
  <si>
    <t>D1_Edu_Changing_Occ_Wk2</t>
  </si>
  <si>
    <t>D1_Edu_Circulation_Occ_WK1</t>
  </si>
  <si>
    <t>D1_Edu_Circulation_Occ_Wk2</t>
  </si>
  <si>
    <t>D1_Edu_DrySptHall_Occ_Wk2</t>
  </si>
  <si>
    <t>D1_Edu_EatDrink_Occ_Wk2</t>
  </si>
  <si>
    <t>D1_Edu_FoodPrep_Occ_Wk2</t>
  </si>
  <si>
    <t>D1_Edu_Lecture_Occ_Wk2</t>
  </si>
  <si>
    <t>D1_Edu_Lab_Occ_Wk2</t>
  </si>
  <si>
    <t>D1_Edu_Plant_Occ_WK1</t>
  </si>
  <si>
    <t>D1_Edu_Plant_Occ_Wk2</t>
  </si>
  <si>
    <t>D1_Edu_Reception_Occ_Wk2</t>
  </si>
  <si>
    <t>D1_Edu_Store_Occ_WK1</t>
  </si>
  <si>
    <t>D1_Edu_Store_Occ_Wk2</t>
  </si>
  <si>
    <t>D1_Edu_Swim_Occ_Wk2</t>
  </si>
  <si>
    <t>D1_Edu_Toilet_Occ_WK1</t>
  </si>
  <si>
    <t>D1_Edu_Toilet_Occ_Wk2</t>
  </si>
  <si>
    <t>D1_Edu_WkshpSS_Occ_Wk2</t>
  </si>
  <si>
    <t>Teaching Areas</t>
  </si>
  <si>
    <t>D1_Edu_ClassRm_Occ_Wk2</t>
  </si>
  <si>
    <t>D1_Edu_CellOff_Occ_Wk2</t>
  </si>
  <si>
    <t>Prison_Store_Occ_WK1</t>
  </si>
  <si>
    <t>Prison_Circulation_Occ_WK1</t>
  </si>
  <si>
    <t>Prison_Toilet_Occ_WK1</t>
  </si>
  <si>
    <t>Prison_Bath_Occ_WK1</t>
  </si>
  <si>
    <t>Prison_Plant_Occ_WK1</t>
  </si>
  <si>
    <t>C2_Schools_EatDrink_Occ_Wk2</t>
  </si>
  <si>
    <t>C2_Schools_FoodPrep_Occ_Wk2</t>
  </si>
  <si>
    <t>C2_Schools_Bed_Occ_Wk1</t>
  </si>
  <si>
    <t>C2_Schools_Bath_Occ_Wk1</t>
  </si>
  <si>
    <t>C2_Schools_Bath_Occ_Wk2</t>
  </si>
  <si>
    <t>C2_Schools_CommunalArea_Occ_Wk2</t>
  </si>
  <si>
    <t>C2_Schools_Laund_Occ_Wk2</t>
  </si>
  <si>
    <t>Uni_Bath_Occ_Wk1</t>
  </si>
  <si>
    <t>Uni_Bath_Occ_Wk2</t>
  </si>
  <si>
    <t>Uni_Bed_Occ_Wk1</t>
  </si>
  <si>
    <t>Uni_Changing_Occ_Wk2</t>
  </si>
  <si>
    <t>Uni_Circulation_Occ_Wk1</t>
  </si>
  <si>
    <t>Uni_Circulation_Occ_Wk2</t>
  </si>
  <si>
    <t>Uni_CommunalArea_Occ_Wk2</t>
  </si>
  <si>
    <t>Cistern capacity (Litres)</t>
  </si>
  <si>
    <t>No. of cisterns</t>
  </si>
  <si>
    <t>Maximum permissible demand (L/day)</t>
  </si>
  <si>
    <t>Total default occupancy</t>
  </si>
  <si>
    <t>Default annual days/operation</t>
  </si>
  <si>
    <t>Kitchen areas in cafes/restaurants contained within the development used to prepare food for customers</t>
  </si>
  <si>
    <t>Generic office space used by staff</t>
  </si>
  <si>
    <t>Specification</t>
  </si>
  <si>
    <t>Effective flush volume (litres)</t>
  </si>
  <si>
    <t>Volume (litres/min)</t>
  </si>
  <si>
    <t>Baths</t>
  </si>
  <si>
    <t>Volume (litres)</t>
  </si>
  <si>
    <t>Volume (litres/use)</t>
  </si>
  <si>
    <t>Non Potable Water Yield - Greywater System</t>
  </si>
  <si>
    <t>Non Potable Water Demand - Building Components</t>
  </si>
  <si>
    <t>Adjustment factors</t>
  </si>
  <si>
    <t xml:space="preserve">Total </t>
  </si>
  <si>
    <t>% of WC/urinal flushing demand (generated by same level microcomponent specification) met by specified grey/rainwater system</t>
  </si>
  <si>
    <t>Volume (litres/kg)</t>
  </si>
  <si>
    <t>Domestic sized washing machines</t>
  </si>
  <si>
    <t>Domestic sized dishwashers</t>
  </si>
  <si>
    <t>Commercial/Industrial sized washing machines</t>
  </si>
  <si>
    <t>Commercial sized dishwashers</t>
  </si>
  <si>
    <t xml:space="preserve">WC </t>
  </si>
  <si>
    <t>Kitchen taps: restaurant (pre-rinse nozzles only)</t>
  </si>
  <si>
    <t>Description of activity area</t>
  </si>
  <si>
    <t>Building type</t>
  </si>
  <si>
    <t>Description of building type</t>
  </si>
  <si>
    <t>A fitness suite or gym that is part of the office building/development  and used by the building's employees only. The gym will have its own changing facility with showers.</t>
  </si>
  <si>
    <t>Permanently or intermittently occupied warehouse storage areas.</t>
  </si>
  <si>
    <t>Industrial - 24hr x 7 day operation</t>
  </si>
  <si>
    <t>Main building activity areas</t>
  </si>
  <si>
    <t>% actual improvement</t>
  </si>
  <si>
    <t>Credits achieved</t>
  </si>
  <si>
    <t>Greywater/rainwater data check</t>
  </si>
  <si>
    <t>If greywater/rainwater systems specified has the minimum % efficiency improvement for component specifications been met</t>
  </si>
  <si>
    <t>System not specified</t>
  </si>
  <si>
    <t>Not applicable</t>
  </si>
  <si>
    <t>Seated dining areas that accompany a permanently staffed kitchen preparing food for consumption on the premises (excludes small un-staffed kitchen's used by office staff to re-heat food, make tea etc.)</t>
  </si>
  <si>
    <t>Building Details</t>
  </si>
  <si>
    <t>Please select</t>
  </si>
  <si>
    <t>Other permissible components</t>
  </si>
  <si>
    <t>Greywater yield
(L/person/day)</t>
  </si>
  <si>
    <t>Microcomponent Consumption 
(L/person/day)</t>
  </si>
  <si>
    <t>Greywater and/or rainwater yield
(L/person/day)</t>
  </si>
  <si>
    <t>Demand met by yield
(L/person/day)</t>
  </si>
  <si>
    <t>Greywater and/or rainwater demand met by yield
(L/person/day)</t>
  </si>
  <si>
    <t>Modelled water demand met via greywater and rainwater sources</t>
  </si>
  <si>
    <t>Office - Office areas</t>
  </si>
  <si>
    <t>Cellular or open plan office space, including staff kitchen where present/adjacent and reception areas. Exlcude meeting rooms, visitor waiting or circulation areas.</t>
  </si>
  <si>
    <t>Office - Small workshop / laboratory space</t>
  </si>
  <si>
    <t>Office - Fitness suite/gym (with changing facility and showers)</t>
  </si>
  <si>
    <t>Industrial - typical business hours of operation</t>
  </si>
  <si>
    <t>Main process based operational/manufacturing/workshop area</t>
  </si>
  <si>
    <t>Industrial - Laboratory area</t>
  </si>
  <si>
    <t>Industrial - Warehouse storage</t>
  </si>
  <si>
    <t>Industrial - Office areas</t>
  </si>
  <si>
    <t>Industrial - Fitness suite/gym (with changing facility and showers)</t>
  </si>
  <si>
    <t>Key</t>
  </si>
  <si>
    <t>Cells that are white with a black border require user input (data entry/option selection)</t>
  </si>
  <si>
    <t>Cells that are light grey contain fixed data or a formula and do not require any user input</t>
  </si>
  <si>
    <t>Building name</t>
  </si>
  <si>
    <t>BRE Assessment Reference No.</t>
  </si>
  <si>
    <t>Note: Only select this activity if there is a permanently staffed kitchen that will prepare hot and cold meals for the building's staff (and visitors). Enter the area of the seated dining area only (not kitchen/servery areas), this is used to estimate the number of covers per day for the restaurant and subsequently the number of kitchen staff and water consumption from food preparation activity area.</t>
  </si>
  <si>
    <t>Note: Where the WC facilities are non-gender specific, please still enter the WC specification against both WC male and WC female categories i.e. if there are two WCs with a 6 litre effective flush, then enter 6 litres against both male and female categories. The calculation will not double count water consumption in this instance as the consumption figure calculated for each WC component is adjusted by the ratio of male to female users for this building type.</t>
  </si>
  <si>
    <t>Commercial sized washing machines</t>
  </si>
  <si>
    <t>L/room/day</t>
  </si>
  <si>
    <t>Shower</t>
  </si>
  <si>
    <t>Domestic dishwasher</t>
  </si>
  <si>
    <t>Commercial Washing machine</t>
  </si>
  <si>
    <t>Commercial Kitchen dishwasher</t>
  </si>
  <si>
    <t>Kitchen taps (pre-rinse nozzle</t>
  </si>
  <si>
    <t>Waste disposal</t>
  </si>
  <si>
    <t>BD2683 modelled baseline for building type</t>
  </si>
  <si>
    <t>Domestic washing machine</t>
  </si>
  <si>
    <t>Please select the option that best defines the building type being assessed</t>
  </si>
  <si>
    <t>Total number of fittings for component</t>
  </si>
  <si>
    <t>Overall component level achieved</t>
  </si>
  <si>
    <t>Component weighting factor for building type</t>
  </si>
  <si>
    <t>Component weighting factors by building type</t>
  </si>
  <si>
    <t>Contribution to overall component level achieved</t>
  </si>
  <si>
    <t>Overall Component level</t>
  </si>
  <si>
    <t>Greywater/rainwater component level</t>
  </si>
  <si>
    <t>Credits</t>
  </si>
  <si>
    <t>Water Consumption - Building Microcomponent</t>
  </si>
  <si>
    <t>Greywater system specified and installed in compliance with BS8525-1:2010 Greywater Systems - Part 1 Code of Practice</t>
  </si>
  <si>
    <t>Rainwater system specified and installed in compliance with BS8515:2009 Rainwater Harvesting Systems - Code of practice</t>
  </si>
  <si>
    <t>Other permissible source of non potable recycled water</t>
  </si>
  <si>
    <t>Please give a brief description of source/system</t>
  </si>
  <si>
    <t>e.g. waste water from building process</t>
  </si>
  <si>
    <t>Actual/equivalent % of the building's flushing demand to be met using recycled non potable water from the above system(s)</t>
  </si>
  <si>
    <t xml:space="preserve">BREEAM component level achieved for water recycling </t>
  </si>
  <si>
    <t>Note: input figure to two decimal places only.</t>
  </si>
  <si>
    <t>Actual % of the total waste water from taps and showers collected and recycled to meet flushing/other permissible demand</t>
  </si>
  <si>
    <t>Actual % of the total rainwater run-off from the roof catchment area collected and used to meet flushing/other permissible demand</t>
  </si>
  <si>
    <t>Component credits</t>
  </si>
  <si>
    <t>Water recycling credits</t>
  </si>
  <si>
    <t>Note: 5 credits is the maximum</t>
  </si>
  <si>
    <t>Type 8 - aggregate component level</t>
  </si>
  <si>
    <t>Type 7 - aggregate component level</t>
  </si>
  <si>
    <t>Type 6 - aggregate component level</t>
  </si>
  <si>
    <t>Type 5 - aggregate component level</t>
  </si>
  <si>
    <t>Type 4 - aggregate component level</t>
  </si>
  <si>
    <t>Type 3 - aggregate component level</t>
  </si>
  <si>
    <t>Type 2 - aggregate component level</t>
  </si>
  <si>
    <t>Type 1 - aggregate component level</t>
  </si>
  <si>
    <t>Level achieved for component type</t>
  </si>
  <si>
    <t>Total Wat 01 BREEAM credits achieved</t>
  </si>
  <si>
    <t>Total Wat01 BREEAM Innovation credits achieved</t>
  </si>
  <si>
    <t>Please select from the drop down list below how you would like to assess performance of the specified system(s) and then enter the relevant % opposite:</t>
  </si>
  <si>
    <t>Litres/visitor/day</t>
  </si>
  <si>
    <t>BD2683 modelled baseline for building type. Data for food preparation components has been taken from restaurant data as no specific data for these components in BD2683 for leisure centres.</t>
  </si>
  <si>
    <t>L/employee or visitor/day</t>
  </si>
  <si>
    <t>L/employee or visit/day</t>
  </si>
  <si>
    <t>Note: The Baseline scenario utilises devices that comply with current building regulations.</t>
  </si>
  <si>
    <t>Note: water consumption from ice makers in restaurants, hotels and bars not included in the data</t>
  </si>
  <si>
    <t>BD2683 modelled 'business as usual' approach. Figures are 40% of corresponding component figures for restaurant use (as indicated by table K3)</t>
  </si>
  <si>
    <t>BD2683 modelled 'business as usual' approach. Figures are 70% of corresponding component figures for restaurant use (as indicated by table K3)</t>
  </si>
  <si>
    <t>Healthcare - GP surgery or health centre/clinic</t>
  </si>
  <si>
    <t>Healthcare - hospital</t>
  </si>
  <si>
    <t>Note: This consumption total accounts for the ratio of male users for this building type i.e. the ratio of building users who will operate the flush. Where more than one type of urinal flushing control is specified in the building, this consumption figure is adjusted by a ratio of use. the ratio is determined according to the proportion of urinals bowls in the building operated using this type of control.</t>
  </si>
  <si>
    <t>Hide rows: N/A for offices</t>
  </si>
  <si>
    <t>On average how many shifts are there likely to be during a single 24 hour period of operation?</t>
  </si>
  <si>
    <t>Will the staff restaurant operate for a 24hr period?</t>
  </si>
  <si>
    <t>Education - Workshop</t>
  </si>
  <si>
    <t>Small scale workshop type space used for practical/vocational demonstrations/learning.</t>
  </si>
  <si>
    <t>Seated dining areas that accompany a permanently staffed kitchen preparing food for consumption on the premises (excludes small un-staffed kitchen's used by staff to re-heat food, make tea etc.)</t>
  </si>
  <si>
    <t>Staff/students</t>
  </si>
  <si>
    <t>Education - Common room</t>
  </si>
  <si>
    <t>Pupils/staff</t>
  </si>
  <si>
    <t>Education - Lecture theatre</t>
  </si>
  <si>
    <t>Lecture theatre with permanent seating and/or stage used by lecturers and/or for staged performances.</t>
  </si>
  <si>
    <t>Education - Staff office and adminstration areas</t>
  </si>
  <si>
    <t>Cellular or open plan office space, including staff rooms and staff kitchen where present/adjacent and reception areas (including library reception desk areas if present). Exlcudes meeting rooms, visitor waiting or circulation areas and other such spaces not permanently occupied.</t>
  </si>
  <si>
    <t>Small scale workshop or category 1 laboratory area</t>
  </si>
  <si>
    <t>Large or small category 1 laboratory area.</t>
  </si>
  <si>
    <t>Hide rows: N/A for schools</t>
  </si>
  <si>
    <t>Manual/automatic operated pressure flushing valve (all activity areas)</t>
  </si>
  <si>
    <t>Automatically operated flushing cistern</t>
  </si>
  <si>
    <t>Urinal (2 or more urinals) - Automatically operated flushing cistern</t>
  </si>
  <si>
    <t>Urinal (1 urinal only) - Automatically operated flushing cistern</t>
  </si>
  <si>
    <t>Volume (Litres/flush/bowl)</t>
  </si>
  <si>
    <t>Urinal - Manual/automatic operated pressure flushing valve</t>
  </si>
  <si>
    <t>Note: Where waterless urinals are specified in the assessed building, for the purpose of the baseline benchmark standard 1.5 litre flush urinals are assumed. Where waterless urinals and another type of urinal flushing control is specified in the building, the baseline consumption figure calculated using a 1.5 litre default flush is adjusted by a ratio of use. The ratio is determined according to the proportion of urinals bowls in the building that are waterless.</t>
  </si>
  <si>
    <t>Note: Please select the relevant option for waterless urinals specification opposite.</t>
  </si>
  <si>
    <t>&gt;</t>
  </si>
  <si>
    <t>N/A for Industrial</t>
  </si>
  <si>
    <t>N/A for Offices</t>
  </si>
  <si>
    <t>Shower use</t>
  </si>
  <si>
    <t>Cells that are dark grey are user input cells which are not applicable due to either building type or user input/option selection or default setting. Note these cells can change to ones requiring user input depending on the users option selection in other cells.</t>
  </si>
  <si>
    <t>Education - dining area</t>
  </si>
  <si>
    <t>Study/write-up area in sixth form, further and/or Higer Education colleges.</t>
  </si>
  <si>
    <t>Education - Study area</t>
  </si>
  <si>
    <t>Note: the  activity areas defined opposite are used to estimate the assessed building's default occupancy and therefore water consumption benchmark. These areas are chosen as they are deemed, by in large, to represent the permanently occupied spaces in the building and therefore reflect the number of building occupants/users. As a result it is not necessary to include all areas of the building that may be present, as the areas not defined are assumed to be used by the occupants of the building already accounted for by those areas that are listed.</t>
  </si>
  <si>
    <t>Laboratory space for teaching/learning related to science based subjects.</t>
  </si>
  <si>
    <t>Education - Laboratory</t>
  </si>
  <si>
    <t>Education - Information Technology space</t>
  </si>
  <si>
    <t>Laboratory/room containing I.T equipment and used for teaching/research related to information technology</t>
  </si>
  <si>
    <t>Student common room.</t>
  </si>
  <si>
    <t>SD129: Certification and Listing of Low Flush WC appliances</t>
  </si>
  <si>
    <t xml:space="preserve">Waterwise </t>
  </si>
  <si>
    <t>Water efficient product labelling scheme</t>
  </si>
  <si>
    <t>Water Supply (water fittings) Regulations 1999: WC Suite Performance Specifications</t>
  </si>
  <si>
    <t>(Very early) Draft BS8542</t>
  </si>
  <si>
    <t>SD174: Certification and Listing of Water Efficient Terminal Fittings (table 2.0)</t>
  </si>
  <si>
    <t>CLG Water Calculation Method for New Dwelling</t>
  </si>
  <si>
    <t>Conserving Water in Buildings - Environment Agency</t>
  </si>
  <si>
    <t xml:space="preserve">SD175 Certification and Listing of Water Efficient Baths </t>
  </si>
  <si>
    <t>BNWAT07: Baths - water efficiency performance tests Version 2.0</t>
  </si>
  <si>
    <t>Waterwise 2007 Dishwasher rankings</t>
  </si>
  <si>
    <t>Waterwise 2007 Washing machine rankings</t>
  </si>
  <si>
    <t>Water UK - Macerators, the impact on sewers http://www.water.org.uk/home/policy/positions/waste-macerators-position-paper</t>
  </si>
  <si>
    <t>Water Efficient Buildings, water and planning, guidance for planners http://www.water-efficient-buildings.org.uk/</t>
  </si>
  <si>
    <t>AECB Water Standards vol 2.</t>
  </si>
  <si>
    <t>Enahnced Capital Allowance Water Technology List criteria</t>
  </si>
  <si>
    <t>BNWAT22: Domestic water consumption in domestic and non-domestic properties</t>
  </si>
  <si>
    <t>National Statistics, DfE: School Workforce in England, November 2010 (statistical first release)</t>
  </si>
  <si>
    <t>Building Bulletin 99 (2nd Edition), Briefing Framework for Primary School Projects</t>
  </si>
  <si>
    <t>Building Bulletin 98 (2nd Edition), Briefing Framework for Secondary School Projects</t>
  </si>
  <si>
    <t>Sources of data/information</t>
  </si>
  <si>
    <t>Should we have fixed use in the baseline for waste disposal, showers and pre-rinse taps regardless of whether they're specified in actual building.</t>
  </si>
  <si>
    <t>Default occupancy</t>
  </si>
  <si>
    <t>Default building occupancy</t>
  </si>
  <si>
    <t>WC type</t>
  </si>
  <si>
    <t>Quantity (No.)</t>
  </si>
  <si>
    <t>Total per fitting type</t>
  </si>
  <si>
    <t>Retail - Supermarket</t>
  </si>
  <si>
    <t>Retail - Service provider</t>
  </si>
  <si>
    <t>Industrial - Staff canteen dining area</t>
  </si>
  <si>
    <t>Office - Staff canteen dining area</t>
  </si>
  <si>
    <t>Retail - Staff canteen dining area</t>
  </si>
  <si>
    <t>Retail - Shop / retail unit(s) / retail warehouse</t>
  </si>
  <si>
    <t>Small Shop Unit Sales area - general</t>
  </si>
  <si>
    <t>Small Shop Unit Sales area - chilled</t>
  </si>
  <si>
    <t>Small Shop Unit Sales area - electrical</t>
  </si>
  <si>
    <t>Warehouse sales area - general</t>
  </si>
  <si>
    <t>Warehouse sales area - chilled</t>
  </si>
  <si>
    <t>Display window</t>
  </si>
  <si>
    <t>Dept Store Sales area - general</t>
  </si>
  <si>
    <t>Dept Store Sales area - chilled</t>
  </si>
  <si>
    <t>Dept Store Sales area - electrical</t>
  </si>
  <si>
    <t>Retail Warehouse Sales area - general</t>
  </si>
  <si>
    <t>Retail Warehouse Sales area - chilled</t>
  </si>
  <si>
    <t>Retail Warehouse Sales area - electrical</t>
  </si>
  <si>
    <t>Retail - Workshop</t>
  </si>
  <si>
    <t>A workshop / vehicle servicing area within a car showroom or general workshop in other type of retail development.</t>
  </si>
  <si>
    <t>Note: Only select this activity if there is a permanently staffed kitchen that will prepare hot and cold meals for the building's staff. Enter the area of the seated dining area only (not kitchen/servery areas), this is used to estimate the number of covers per day and subsequently the default number of kitchen staff and water consumption from food preparation activity area.</t>
  </si>
  <si>
    <t>Hide rows: N/A for retail</t>
  </si>
  <si>
    <t>Seated areas in a staff canteen that accompany a food preparation areas where food and drink is consumed by staff on the premises.</t>
  </si>
  <si>
    <t>Internal areas for receiving and storing goods.</t>
  </si>
  <si>
    <t>Does the retail development contain sanitary facilities for use by visiting customers?</t>
  </si>
  <si>
    <t>A retail sales/display area trading predominantly in bulky items, e.g. furniture, floor coverings, cycles, prams, large domestic appliances or other bulky goods, or trading on a wholesale self-selection basis.</t>
  </si>
  <si>
    <t>Retail - sales areas for display of bulky items</t>
  </si>
  <si>
    <t>The Building Regulations 2000 Approved Document B Fire Safety</t>
  </si>
  <si>
    <t>Retail - Shopping centre/complex</t>
  </si>
  <si>
    <t>Retail - concourse/shopping mall</t>
  </si>
  <si>
    <t>The central (shared) area within a shopping centre used for access by shoppers (typically a covered area containing one or more of benches, cafes, escalators etc.)</t>
  </si>
  <si>
    <t>Retail - sales areas for display of non bulky items and/or customer service area.</t>
  </si>
  <si>
    <t>A general sales/display areas in department stores, supermarkets, shops and/or customer service waiting and/or collection areas e.g. in banks, post office, bookmakers etc.</t>
  </si>
  <si>
    <t>Employment Densities, a full guide, Arup Economics and Planning, 2001 (produced for English Partnerships and Regional Development Agencies)</t>
  </si>
  <si>
    <t>Default occupancy rate - customers</t>
  </si>
  <si>
    <t>Default occupancy rate - staff</t>
  </si>
  <si>
    <t>Default daily occupancy visiting customers</t>
  </si>
  <si>
    <t>Default daily occupancy staff</t>
  </si>
  <si>
    <t>Note: The consumption figures calculated here are based on water consumption for staff only (as the building does not contain facilities for visiting customers).</t>
  </si>
  <si>
    <t>Note: A default occupancy total for visiting customers is not calculated if facilities are not provided for this building user.</t>
  </si>
  <si>
    <t>Customers</t>
  </si>
  <si>
    <t>Customer</t>
  </si>
  <si>
    <t>Retail - Staff office area and staffroom</t>
  </si>
  <si>
    <t>Staff office space and staffroom, often located in 'back of house' areas.</t>
  </si>
  <si>
    <t>Requires building information</t>
  </si>
  <si>
    <t>A red arrow indicates that option selection or mandatory data entry is required in one of the cells on the row where this arrow appears. Without appropriate selection/data the calculator will not be able to determine the number of BREEAM credits. Where the term "Requires building information" appears check to make sure there are no red arrows indicating an absence of option selection or data entry.</t>
  </si>
  <si>
    <t>Tap components (cleaning and food preparation) - staff canteen food preparation area</t>
  </si>
  <si>
    <t>Tap components (cleaning and food preparation) - school canteen food preparation area</t>
  </si>
  <si>
    <t>CLG Research to Assess the Costs and Benefits of Improvements to the Water Efficiency of New Non-household Buildings (BD2683), 2009.</t>
  </si>
  <si>
    <t>Should litres/meal be adjusted to account for fact not three courses?</t>
  </si>
  <si>
    <t>Note: If this retail development contains one of or a combination of restaurants/cafes (for customer use), gym or cinema then please ensure you undertake separate water consumption calculations for such building functions using the appropriate building type calculator. You must then determine the number of BREEAM credits achieved for the development as a whole in accordance with the guidance given in the compliance note: "Building is a mixture of different types", contained within the Wat01 issue in the BREEAM New Construction technical guide.</t>
  </si>
  <si>
    <t>Waste disposal unit (commercial kitchens only)</t>
  </si>
  <si>
    <t>Staff/residents Kitchen taps</t>
  </si>
  <si>
    <t>Prisons - Houseblock</t>
  </si>
  <si>
    <t>Healthcare - Hospital</t>
  </si>
  <si>
    <t>Public - Law Court</t>
  </si>
  <si>
    <t>Residential Institution - Hotel</t>
  </si>
  <si>
    <t>Retail - Bar/Public House only (no restaurant)</t>
  </si>
  <si>
    <t>Retail - Bar/Public House with restaurant</t>
  </si>
  <si>
    <t>Other Non-Domestic Building Type</t>
  </si>
  <si>
    <t>Information source</t>
  </si>
  <si>
    <t>Please specify/describe the building type being assessed:</t>
  </si>
  <si>
    <t>See information source</t>
  </si>
  <si>
    <t>No specific data available/found for this building type, therefore it uses the same ratios as that for 'Other non-domestic building type'</t>
  </si>
  <si>
    <t>No specific data found by type for healthcare, therefore the same splits in component types as that used for 'other non domestic building type' are used.</t>
  </si>
  <si>
    <t>No specific data found by type for healthcare, therefore for hospitals data from hotels has been used as, of all building types with data, this is assumed to reflect most closely the breakdown in consumption between the microcomponent type for hospitals</t>
  </si>
  <si>
    <t>What is the proportion of urinals to WCs (%)</t>
  </si>
  <si>
    <t>Please select the number of different types of specification that you wish to enter for this component type?</t>
  </si>
  <si>
    <t>WC, urinals, shower, basin taps and kitchen taps are sourced from BNWat22.</t>
  </si>
  <si>
    <t>See comment.</t>
  </si>
  <si>
    <t>Please confirm if this component type is specified in the building and will be installed</t>
  </si>
  <si>
    <t>Specified</t>
  </si>
  <si>
    <t>Not Specified</t>
  </si>
  <si>
    <t>Component assessed for building type (if specified)</t>
  </si>
  <si>
    <t>Are urinals specified in this residential building type?</t>
  </si>
  <si>
    <t>Component weightings adjusted for components specified</t>
  </si>
  <si>
    <t>Component weightings for selected building type</t>
  </si>
  <si>
    <t>Note: for the purpose of awarding credits this figure is rounded down to the nearest whole component level, e.g. if the total from the individual component levels is 0.7, then the component level achieved is 'Baseline', not Level 1.</t>
  </si>
  <si>
    <t>Please confirm the BREEAM water efficient component level achieved for this component - type 1</t>
  </si>
  <si>
    <t>Please confirm the no. of  type 1 components specified</t>
  </si>
  <si>
    <t>Please confirm the BREEAM water efficient component level achieved for this component - type 8</t>
  </si>
  <si>
    <t>Please confirm the BREEAM water efficient component level achieved for this component - type 7</t>
  </si>
  <si>
    <t>Please confirm the BREEAM water efficient component level achieved for this component - type 6</t>
  </si>
  <si>
    <t>Please confirm the BREEAM water efficient component level achieved for this component - type 5</t>
  </si>
  <si>
    <t>Please confirm the BREEAM water efficient component level achieved for this component - type 4</t>
  </si>
  <si>
    <t>Please confirm the BREEAM water efficient component level achieved for this component - type 3</t>
  </si>
  <si>
    <t>Please confirm the BREEAM water efficient component level achieved for this component - type 2</t>
  </si>
  <si>
    <t xml:space="preserve">Note: Some water consuming microcomponents covered by BREEAM are typically not present in some building types e.g. no baths will be specified in a law court, and therefore these components do not require assessment under Wat01 using this calculation method. The components applicable are indicated opposite. As a result the credits are assessed and awarded on the basis of the performance specification for the components that could potentially be specified (if the methodology confirms the component is applicable, but that component is not specified, then the user must confirm this in the relative cell opposite).
In some instances a component may be specified and present but its contribution to overall water consumption may be low, as a result its contribution to achieving BREEAM credits will be low. Likewise, those consuming a significant majority of the water use for a given building type will contribute a greater amount toward achieving BREEAM credits (depending on the component level achieved).This contribution can be checked for each applicable and specified component by referring to the component weighting factors, below. </t>
  </si>
  <si>
    <t>A red arrow indicates that option selection or mandatory data entry is required in one of the cells on the row where this arrow appears. Without appropriate selection/data the calculator will not be able to determine the number of BREEAM credits. Where the term If the calculator does not confirm the number of credits achieved, check to make sure there are no red arrows indicating an absence of option selection or data entry.</t>
  </si>
  <si>
    <t>Type 1</t>
  </si>
  <si>
    <t>Type 2</t>
  </si>
  <si>
    <t>Type 3</t>
  </si>
  <si>
    <t>Type 4</t>
  </si>
  <si>
    <t>Type 5</t>
  </si>
  <si>
    <t>Type 6</t>
  </si>
  <si>
    <t>Type 7</t>
  </si>
  <si>
    <t>Type 8</t>
  </si>
  <si>
    <t>Note: credits only available for achieving BREEAM component level 4 or 5 in the elemental method.</t>
  </si>
  <si>
    <t>Assembly and leisure - cinema</t>
  </si>
  <si>
    <t>Assembly and leisure - theatre, music, concert hall</t>
  </si>
  <si>
    <t>Assembly and Leisure - sports and recreation</t>
  </si>
  <si>
    <t>Mega litres/day</t>
  </si>
  <si>
    <t>Up to level 2</t>
  </si>
  <si>
    <t>Assembly and Leisure - Cinema</t>
  </si>
  <si>
    <t>Assembly and Leisure - Theatre, Music, Concert Hall</t>
  </si>
  <si>
    <t>Assembly and Leisure - Sports and Recreation</t>
  </si>
  <si>
    <t>Please confirm the shower/bath arrangement for this residential building type</t>
  </si>
  <si>
    <t>Kitchen taps (staff/residents kitchen)</t>
  </si>
  <si>
    <t>Non-Potable Water Yield - Water Recycling</t>
  </si>
  <si>
    <t>Note: Only select this activity if there is a permanently staffed kitchen that will prepare hot and cold meals for the building's staff/students/pupils. Enter the area of the seated dining area only (not kitchen/servery areas), this is used to estimate the number of covers per day and subsequently the default number of kitchen staff and water consumption from food preparation activity area. If an assembly hall is used as a dining area, then enter the area of the assembly hall used for dining against this function.</t>
  </si>
  <si>
    <t>Greywater yield 
(L/person/day)</t>
  </si>
  <si>
    <t>Typical greywater yield (litres)</t>
  </si>
  <si>
    <t>Frequency of  yield (days)</t>
  </si>
  <si>
    <t>Greywater yield (litres/day)</t>
  </si>
  <si>
    <t>Non Potable Water Yield - Rainwater System</t>
  </si>
  <si>
    <t>Rainwater yield if intermediate:</t>
  </si>
  <si>
    <t>Yield co-efficient (%)</t>
  </si>
  <si>
    <t>Annual rainwater yield (Litres)</t>
  </si>
  <si>
    <t>Rainwater yield
(L/person/day)</t>
  </si>
  <si>
    <t>Rainwater yield 
(L/person/day)</t>
  </si>
  <si>
    <t>Greywater and/or rainwater utilised for component</t>
  </si>
  <si>
    <t xml:space="preserve"> Demand met by yield
(L/person/day)</t>
  </si>
  <si>
    <t>Note: If greywater is collected from a component/source not accounted for above i.e. their consumption is not estimated, then the amount of greywater collected can be added here so that it may be accounted for. This can include wastewater from active hygiene flushing, i.e. a regular hygiene flushing programme to minimize poor water quality in a potable cold or hot water system.</t>
  </si>
  <si>
    <t>Note: the number of shifts is used to estimate the building's total occupancy and therefore water consumption. If unknown at the time assessment, then assume three shifts for a single 24 hour period.</t>
  </si>
  <si>
    <t>Current Version</t>
  </si>
  <si>
    <t>Release date</t>
  </si>
  <si>
    <t>Description of changes/additions to previous version resulting in current version</t>
  </si>
  <si>
    <t>Previous Versions</t>
  </si>
  <si>
    <t>Description of changes/additions</t>
  </si>
  <si>
    <t>Proportionate capacity to overflow (litres)</t>
  </si>
  <si>
    <t>Average capacity to overflow (litres)</t>
  </si>
  <si>
    <t>Specification
Capacity to overflow (litres)</t>
  </si>
  <si>
    <t>bath type</t>
  </si>
  <si>
    <t>Proportionate flow rate (litres/min)</t>
  </si>
  <si>
    <t>Average flow rate (litres/min)</t>
  </si>
  <si>
    <t>Specification
Flow rate (litres/minute)</t>
  </si>
  <si>
    <t>Shower type</t>
  </si>
  <si>
    <t>Tap type</t>
  </si>
  <si>
    <t>Kitchen sink taps</t>
  </si>
  <si>
    <t>Taps (excluding kitchen sink taps)</t>
  </si>
  <si>
    <t>Average flush volume (litres)</t>
  </si>
  <si>
    <t>Specification
Flush volume (litres)</t>
  </si>
  <si>
    <t>Urinal Flushing System type</t>
  </si>
  <si>
    <t>Urinals - Manual or automatically operated pressure flushing valves</t>
  </si>
  <si>
    <t>Average flushing frequency (flushes/hour)</t>
  </si>
  <si>
    <t>Average cistern capacity (litres)</t>
  </si>
  <si>
    <t>Flushing Frequency (flushes/hr)</t>
  </si>
  <si>
    <t>Specification
Cistern capacity (litres)</t>
  </si>
  <si>
    <t>Urinals - automatically operated flushing cisterns</t>
  </si>
  <si>
    <t>Average effective flushing volume (litres)</t>
  </si>
  <si>
    <t>Specification
Effective flush volume (litres)</t>
  </si>
  <si>
    <t>Note: This total includes the contributions from fixed uses, including where applicable vessel filling, kitchen cleaning and food preparation. Default fixed use totals are included with the calculations to provide a more accurate reflection of the buildings total water consumption. The fixed use totals are not however included in the water consumption total used to determine the assessed buildings percentage improvement and the number of BREEAM credits achieved. The percentage improvement is based only on the consumption of water from uses that can be heavily influenced by the microcomponent specification e.g. WC flushing.</t>
  </si>
  <si>
    <t>Total from fixed uses</t>
  </si>
  <si>
    <t>Baseline Consumption (L/person/day) - exluding fixed uses</t>
  </si>
  <si>
    <t>Key Performance Indicator - use of freshwater resource (includes fixed uses)</t>
  </si>
  <si>
    <t>Water consumption - modelled baseline performance benchmark (excludes fixed uses)</t>
  </si>
  <si>
    <t>Microcomponent Water consumption - modelled performance (excludes fixed uses)</t>
  </si>
  <si>
    <t>Net modelled water consumption (excludes fixed uses)</t>
  </si>
  <si>
    <r>
      <t>m</t>
    </r>
    <r>
      <rPr>
        <vertAlign val="superscript"/>
        <sz val="10"/>
        <color indexed="9"/>
        <rFont val="Calibri"/>
        <family val="2"/>
      </rPr>
      <t>3</t>
    </r>
    <r>
      <rPr>
        <sz val="10"/>
        <color indexed="9"/>
        <rFont val="Calibri"/>
        <family val="2"/>
      </rPr>
      <t>/person/yr</t>
    </r>
  </si>
  <si>
    <r>
      <t>Net Floor Area (m</t>
    </r>
    <r>
      <rPr>
        <vertAlign val="superscript"/>
        <sz val="10"/>
        <color indexed="9"/>
        <rFont val="Calibri"/>
        <family val="2"/>
      </rPr>
      <t>2</t>
    </r>
    <r>
      <rPr>
        <sz val="10"/>
        <color indexed="9"/>
        <rFont val="Calibri"/>
        <family val="2"/>
      </rPr>
      <t>)</t>
    </r>
  </si>
  <si>
    <t>&lt;previously Other Residential Building Type</t>
  </si>
  <si>
    <t>Precipitation zone:</t>
  </si>
  <si>
    <t>Precipitation zones</t>
  </si>
  <si>
    <t>Precipitation zone 1</t>
  </si>
  <si>
    <t>Precipitation zone 2</t>
  </si>
  <si>
    <t>Precipitation zone 3</t>
  </si>
  <si>
    <t>BREEAM credit benchmarks for Precipitation Zone 2</t>
  </si>
  <si>
    <t>BREEAM credit benchmarks for Precipitation Zone 3</t>
  </si>
  <si>
    <t>Please confirm the no. of  type 2 components specified</t>
  </si>
  <si>
    <t>Please confirm the no. of  type 3 components specified</t>
  </si>
  <si>
    <t>Please confirm the no. of  type 4 components specified</t>
  </si>
  <si>
    <t>Please confirm the no. of  type 5 components specified</t>
  </si>
  <si>
    <t>Please confirm the no. of  type 6 components specified</t>
  </si>
  <si>
    <t>Please confirm the no. of  type 7 components specified</t>
  </si>
  <si>
    <t>Please confirm the no. of  type 8 components specified</t>
  </si>
  <si>
    <t>Shower only</t>
  </si>
  <si>
    <t>Education - Higher education institutions</t>
  </si>
  <si>
    <t>Education - Universities</t>
  </si>
  <si>
    <t>Education - Schools and colleges</t>
  </si>
  <si>
    <t xml:space="preserve">Education - Pre-schools </t>
  </si>
  <si>
    <t>Non-residential pre-school and primary schools.</t>
  </si>
  <si>
    <t>Non-residential secondary schools, academies and all-age range schools</t>
  </si>
  <si>
    <t>Non-residential further education colleges</t>
  </si>
  <si>
    <t>Non-residential higher education learning resource centres/teaching facility only</t>
  </si>
  <si>
    <t>Offices and workshop business (including those with a basic (category 1) laboratory area)</t>
  </si>
  <si>
    <t>General and specialist industrial and warehouse and storage units operating 24 hours a day 7 days a week.</t>
  </si>
  <si>
    <t>Industrial - Process area</t>
  </si>
  <si>
    <t xml:space="preserve">Shops: shop/retail unit(s)/retail warehouse(s). </t>
  </si>
  <si>
    <t>Shops: supermarket</t>
  </si>
  <si>
    <t xml:space="preserve">Financial and professional services - Financial services such as banks and building societies, professional services (other than health and medical services) including estate and employment agencies and betting offices. 
</t>
  </si>
  <si>
    <t>Mixture of shops, professional services.</t>
  </si>
  <si>
    <t xml:space="preserve">Restaurants and cafés - For the sale of food and drink for consumption on the premises - restaurants, snack bars and cafes. </t>
  </si>
  <si>
    <t>Has, or will, the rainwater system be specified and installed?</t>
  </si>
  <si>
    <t>Has, or will, the greywater system be specified and installed?</t>
  </si>
  <si>
    <t>Bath and shower</t>
  </si>
  <si>
    <t>Hotels and Residential institutions - Short term stay</t>
  </si>
  <si>
    <t>Residential</t>
  </si>
  <si>
    <t>Please select:</t>
  </si>
  <si>
    <t>Bath only</t>
  </si>
  <si>
    <t>Residential Institutions - Long term stay</t>
  </si>
  <si>
    <r>
      <t>User instructions</t>
    </r>
    <r>
      <rPr>
        <sz val="10"/>
        <rFont val="Arial"/>
        <family val="2"/>
      </rPr>
      <t xml:space="preserve">
There are two ways to calculate performance using the BREEAM International 2016 Wat 01 calculator:
1) The standard Wat 01 method
2) The alternative Wat 01 method
The standard BREEAM water efficiency method determines water efficiency (measured in l/person/day and m3/person/yr) for a building based on the building's actual component specification and default usage patterns for the building type and its activity areas. This output is compared with the same output for a baseline component specification and the percentage improvement used to determine the number of BREEAM credits achieved.
The standard approach is the default method for calculating water efficiency of a BREEAM assessed building and is that used for most of the common building types, where usage data is available, including:
1) Offices
2) Retail
3) Industrial
4) Education
Where it is not possible to use the standard approach to determine the buildings water consumption total, and therefore a percentage improvement on the baseline specification, the assessment can be completed using the alternative method. The alternative method is used for any Other building type not listed above under the standard method.</t>
    </r>
    <r>
      <rPr>
        <b/>
        <sz val="10"/>
        <rFont val="Arial"/>
        <family val="2"/>
      </rPr>
      <t xml:space="preserve">
</t>
    </r>
  </si>
  <si>
    <t>Building details</t>
  </si>
  <si>
    <t>Water consumption - Building microcomponents</t>
  </si>
  <si>
    <t>Wat 01 Results</t>
  </si>
  <si>
    <t>Total Wat 01 BREEAM Innovation credits achieved</t>
  </si>
  <si>
    <r>
      <rPr>
        <b/>
        <sz val="10"/>
        <rFont val="Arial"/>
        <family val="2"/>
      </rPr>
      <t xml:space="preserve">Important information
</t>
    </r>
    <r>
      <rPr>
        <sz val="10"/>
        <rFont val="Arial"/>
        <family val="2"/>
      </rPr>
      <t xml:space="preserve">
This version of the BREEAM International 2016 Wat 01 calculator can be used for the following building types:
1) Offices
2) Retail
3) Industrial
4) Education
5) Other building types
</t>
    </r>
    <r>
      <rPr>
        <sz val="10"/>
        <color theme="1"/>
        <rFont val="Arial"/>
        <family val="2"/>
      </rPr>
      <t>Assessors may use the ‘Other building type calculator’ for the assessment of Residential buildings, Residential institutions - Long term stay and Hotels and Residential institutions - Shorte term stay,selecting the relevant option from the drop-down list.</t>
    </r>
    <r>
      <rPr>
        <sz val="10"/>
        <rFont val="Arial"/>
        <family val="2"/>
      </rPr>
      <t xml:space="preserve">
For Bespoke projects, please, see the criteria appendix for details of which building type to use for the assessment of this issue.
The BREEAM International 2016 Wat 01 calculator tool is compatible with Microsoft Excel version</t>
    </r>
    <r>
      <rPr>
        <sz val="10"/>
        <color theme="1"/>
        <rFont val="Arial"/>
        <family val="2"/>
      </rPr>
      <t>s 2007, 2010 and 2013.</t>
    </r>
    <r>
      <rPr>
        <sz val="10"/>
        <rFont val="Arial"/>
        <family val="2"/>
      </rPr>
      <t xml:space="preserve">
</t>
    </r>
  </si>
  <si>
    <t>BREEAM International New Construction 2016 go live version.</t>
  </si>
  <si>
    <t>Fixed error in selecting Residential Institutions - Long term stay building type within Other building type calculator.</t>
  </si>
  <si>
    <t>Retail - Bar/public house or restaurant</t>
  </si>
  <si>
    <t>Retail - Bar/Public House or restaurant</t>
  </si>
  <si>
    <t>Included 'Retail - bar/public house or restaurant' and 'Retail - bar/public house (no restaurant)' building types within Other building type calculator.</t>
  </si>
  <si>
    <t>BREEAM credit benchmarks Office</t>
  </si>
  <si>
    <t>BREEAM credit benchmarks Retail</t>
  </si>
  <si>
    <t>BREEAM credit benchmarks Industrial</t>
  </si>
  <si>
    <t>BREEAM credit benchmarks Education</t>
  </si>
  <si>
    <t>BREEAM credit benchmarks Other</t>
  </si>
  <si>
    <t>Included the Precipitation Zone cell in the Education tab and improved the links between precipitation zones and credits achieved</t>
  </si>
  <si>
    <t>DE AH Versioin</t>
  </si>
  <si>
    <t>BREEAM International 2016 / Version 6 Wat 01 Water consumption calculator - User instructions</t>
  </si>
  <si>
    <t>BREEAM International 2016 / Version 6 Wat 01 Water consumption calculator - Office buildings</t>
  </si>
  <si>
    <t>BREEAM International 2016 / Version 6 Wat 01 Calculator</t>
  </si>
  <si>
    <t>BREEAM International 2016 / Version 6 Wat 01 Water consumption calculator - Retail buildings</t>
  </si>
  <si>
    <t>BREEAM International 2016 / Version 6 Wat 01 Water consumption calculator - Industrial buildings</t>
  </si>
  <si>
    <t>BREEAM International 2016 / Version 6 Wat 01 Water consumption calculator - Education buildings</t>
  </si>
  <si>
    <t>BREEAM International 2016 / Version 6 Wat 01 Water consumption calculator - Other building types</t>
  </si>
  <si>
    <t>BREEAM International 2016 / Version 6 Wat 01 Water Consumption: Average flow rate calculator</t>
  </si>
  <si>
    <t>Title updated to include BREEAM International New Construction Version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</si>
</sst>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
    <numFmt numFmtId="166" formatCode="0.0000"/>
    <numFmt numFmtId="167" formatCode="0.0000000"/>
    <numFmt numFmtId="168" formatCode="0.0%"/>
  </numFmts>
  <fonts count="61" x14ac:knownFonts="1">
    <font>
      <sz val="10"/>
      <name val="Arial"/>
    </font>
    <font>
      <sz val="10"/>
      <color theme="1"/>
      <name val="Arial"/>
      <family val="2"/>
    </font>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sz val="8"/>
      <name val="Arial"/>
      <family val="2"/>
    </font>
    <font>
      <sz val="8"/>
      <color indexed="81"/>
      <name val="Tahoma"/>
      <family val="2"/>
    </font>
    <font>
      <b/>
      <sz val="8"/>
      <color indexed="81"/>
      <name val="Tahoma"/>
      <family val="2"/>
    </font>
    <font>
      <sz val="10"/>
      <color indexed="8"/>
      <name val="Arial"/>
      <family val="2"/>
    </font>
    <font>
      <b/>
      <sz val="18"/>
      <name val="Trebuchet MS"/>
      <family val="2"/>
    </font>
    <font>
      <u/>
      <sz val="10"/>
      <color indexed="12"/>
      <name val="Arial"/>
      <family val="2"/>
    </font>
    <font>
      <b/>
      <sz val="10"/>
      <color indexed="8"/>
      <name val="Arial"/>
      <family val="2"/>
    </font>
    <font>
      <b/>
      <sz val="10"/>
      <color indexed="10"/>
      <name val="Arial"/>
      <family val="2"/>
    </font>
    <font>
      <sz val="10"/>
      <color indexed="22"/>
      <name val="Arial"/>
      <family val="2"/>
    </font>
    <font>
      <b/>
      <sz val="10"/>
      <color indexed="81"/>
      <name val="Tahoma"/>
      <family val="2"/>
    </font>
    <font>
      <sz val="10"/>
      <color indexed="81"/>
      <name val="Tahoma"/>
      <family val="2"/>
    </font>
    <font>
      <sz val="8"/>
      <name val="Arial"/>
      <family val="2"/>
    </font>
    <font>
      <sz val="8"/>
      <color indexed="81"/>
      <name val="Arial"/>
      <family val="2"/>
    </font>
    <font>
      <b/>
      <sz val="8"/>
      <name val="Arial"/>
      <family val="2"/>
    </font>
    <font>
      <sz val="8"/>
      <color indexed="22"/>
      <name val="Arial"/>
      <family val="2"/>
    </font>
    <font>
      <u/>
      <sz val="8"/>
      <color indexed="81"/>
      <name val="Tahoma"/>
      <family val="2"/>
    </font>
    <font>
      <sz val="8"/>
      <color indexed="8"/>
      <name val="Arial"/>
      <family val="2"/>
    </font>
    <font>
      <sz val="10"/>
      <name val="Arial"/>
      <family val="2"/>
    </font>
    <font>
      <sz val="10"/>
      <color indexed="9"/>
      <name val="Calibri"/>
      <family val="2"/>
    </font>
    <font>
      <vertAlign val="superscript"/>
      <sz val="10"/>
      <color indexed="9"/>
      <name val="Calibri"/>
      <family val="2"/>
    </font>
    <font>
      <sz val="11"/>
      <color theme="1"/>
      <name val="Calibri"/>
      <family val="2"/>
      <scheme val="minor"/>
    </font>
    <font>
      <sz val="11"/>
      <color theme="0"/>
      <name val="Calibri"/>
      <family val="2"/>
      <scheme val="minor"/>
    </font>
    <font>
      <b/>
      <sz val="11"/>
      <color theme="1"/>
      <name val="Calibri"/>
      <family val="2"/>
      <scheme val="minor"/>
    </font>
    <font>
      <sz val="11"/>
      <color rgb="FFFF0000"/>
      <name val="Calibri"/>
      <family val="2"/>
      <scheme val="minor"/>
    </font>
    <font>
      <sz val="8"/>
      <color rgb="FF000000"/>
      <name val="Arial"/>
      <family val="2"/>
    </font>
    <font>
      <sz val="10"/>
      <name val="Calibri"/>
      <family val="2"/>
      <scheme val="minor"/>
    </font>
    <font>
      <b/>
      <sz val="10"/>
      <name val="Calibri"/>
      <family val="2"/>
      <scheme val="minor"/>
    </font>
    <font>
      <b/>
      <i/>
      <sz val="10"/>
      <name val="Calibri"/>
      <family val="2"/>
      <scheme val="minor"/>
    </font>
    <font>
      <i/>
      <sz val="10"/>
      <name val="Calibri"/>
      <family val="2"/>
      <scheme val="minor"/>
    </font>
    <font>
      <sz val="10"/>
      <color indexed="22"/>
      <name val="Calibri"/>
      <family val="2"/>
      <scheme val="minor"/>
    </font>
    <font>
      <sz val="10"/>
      <color rgb="FFFF0000"/>
      <name val="Calibri"/>
      <family val="2"/>
      <scheme val="minor"/>
    </font>
    <font>
      <sz val="10"/>
      <color indexed="9"/>
      <name val="Calibri"/>
      <family val="2"/>
      <scheme val="minor"/>
    </font>
    <font>
      <sz val="10"/>
      <color indexed="10"/>
      <name val="Calibri"/>
      <family val="2"/>
      <scheme val="minor"/>
    </font>
    <font>
      <sz val="9"/>
      <name val="Calibri"/>
      <family val="2"/>
      <scheme val="minor"/>
    </font>
    <font>
      <sz val="10"/>
      <color theme="0" tint="-0.499984740745262"/>
      <name val="Calibri"/>
      <family val="2"/>
      <scheme val="minor"/>
    </font>
    <font>
      <sz val="10"/>
      <color theme="0" tint="-0.499984740745262"/>
      <name val="Calibri"/>
      <family val="2"/>
    </font>
    <font>
      <sz val="10"/>
      <color theme="0"/>
      <name val="Calibri"/>
      <family val="2"/>
      <scheme val="minor"/>
    </font>
    <font>
      <b/>
      <sz val="18"/>
      <color rgb="FFFF0000"/>
      <name val="Calibri"/>
      <family val="2"/>
      <scheme val="minor"/>
    </font>
    <font>
      <b/>
      <sz val="22"/>
      <color rgb="FFFF0000"/>
      <name val="Calibri"/>
      <family val="2"/>
      <scheme val="minor"/>
    </font>
    <font>
      <i/>
      <sz val="10"/>
      <color theme="0" tint="-0.499984740745262"/>
      <name val="Calibri"/>
      <family val="2"/>
      <scheme val="minor"/>
    </font>
    <font>
      <sz val="10"/>
      <color rgb="FFFF0000"/>
      <name val="Arial"/>
      <family val="2"/>
    </font>
    <font>
      <sz val="11"/>
      <name val="Calibri"/>
      <family val="2"/>
      <scheme val="minor"/>
    </font>
    <font>
      <b/>
      <sz val="16"/>
      <color rgb="FFFF0000"/>
      <name val="Calibri"/>
      <family val="2"/>
      <scheme val="minor"/>
    </font>
    <font>
      <sz val="10"/>
      <color theme="1"/>
      <name val="Calibri"/>
      <family val="2"/>
      <scheme val="minor"/>
    </font>
    <font>
      <b/>
      <sz val="14"/>
      <color rgb="FFFF0000"/>
      <name val="Calibri"/>
      <family val="2"/>
      <scheme val="minor"/>
    </font>
    <font>
      <i/>
      <sz val="11"/>
      <color theme="0" tint="-0.499984740745262"/>
      <name val="Calibri"/>
      <family val="2"/>
      <scheme val="minor"/>
    </font>
    <font>
      <b/>
      <sz val="11"/>
      <color rgb="FFFF0000"/>
      <name val="Calibri"/>
      <family val="2"/>
      <scheme val="minor"/>
    </font>
    <font>
      <b/>
      <sz val="16"/>
      <color theme="0"/>
      <name val="Calibri"/>
      <family val="2"/>
      <scheme val="minor"/>
    </font>
    <font>
      <b/>
      <sz val="12"/>
      <color theme="0"/>
      <name val="Calibri"/>
      <family val="2"/>
      <scheme val="minor"/>
    </font>
    <font>
      <b/>
      <sz val="14"/>
      <color theme="0"/>
      <name val="Calibri"/>
      <family val="2"/>
      <scheme val="minor"/>
    </font>
    <font>
      <b/>
      <sz val="10"/>
      <color theme="0"/>
      <name val="Calibri"/>
      <family val="2"/>
      <scheme val="minor"/>
    </font>
    <font>
      <b/>
      <u/>
      <sz val="10"/>
      <name val="Calibri"/>
      <family val="2"/>
      <scheme val="minor"/>
    </font>
    <font>
      <sz val="14"/>
      <color theme="0"/>
      <name val="Calibri"/>
      <family val="2"/>
      <scheme val="minor"/>
    </font>
    <font>
      <sz val="11"/>
      <color indexed="81"/>
      <name val="Tahoma"/>
      <family val="2"/>
    </font>
  </fonts>
  <fills count="21">
    <fill>
      <patternFill patternType="none"/>
    </fill>
    <fill>
      <patternFill patternType="gray125"/>
    </fill>
    <fill>
      <patternFill patternType="solid">
        <fgColor indexed="22"/>
        <bgColor indexed="0"/>
      </patternFill>
    </fill>
    <fill>
      <patternFill patternType="solid">
        <fgColor indexed="50"/>
        <bgColor indexed="64"/>
      </patternFill>
    </fill>
    <fill>
      <patternFill patternType="solid">
        <fgColor indexed="9"/>
        <bgColor indexed="64"/>
      </patternFill>
    </fill>
    <fill>
      <patternFill patternType="solid">
        <fgColor indexed="42"/>
        <bgColor indexed="64"/>
      </patternFill>
    </fill>
    <fill>
      <patternFill patternType="solid">
        <fgColor indexed="9"/>
        <bgColor indexed="8"/>
      </patternFill>
    </fill>
    <fill>
      <patternFill patternType="solid">
        <fgColor indexed="41"/>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9AB599"/>
        <bgColor indexed="64"/>
      </patternFill>
    </fill>
    <fill>
      <patternFill patternType="solid">
        <fgColor theme="0" tint="-4.9989318521683403E-2"/>
        <bgColor indexed="64"/>
      </patternFill>
    </fill>
    <fill>
      <patternFill patternType="solid">
        <fgColor rgb="FF99B59A"/>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bgColor indexed="8"/>
      </patternFill>
    </fill>
    <fill>
      <patternFill patternType="solid">
        <fgColor rgb="FF3D6864"/>
        <bgColor indexed="64"/>
      </patternFill>
    </fill>
    <fill>
      <patternFill patternType="solid">
        <fgColor rgb="FF406564"/>
        <bgColor indexed="64"/>
      </patternFill>
    </fill>
    <fill>
      <patternFill patternType="solid">
        <fgColor rgb="FFFFFF00"/>
        <bgColor indexed="64"/>
      </patternFill>
    </fill>
  </fills>
  <borders count="19">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10">
    <xf numFmtId="0" fontId="0" fillId="0" borderId="0"/>
    <xf numFmtId="0" fontId="12" fillId="0" borderId="0" applyNumberFormat="0" applyFill="0" applyBorder="0" applyAlignment="0" applyProtection="0">
      <alignment vertical="top"/>
      <protection locked="0"/>
    </xf>
    <xf numFmtId="0" fontId="27" fillId="0" borderId="0"/>
    <xf numFmtId="0" fontId="5" fillId="0" borderId="0"/>
    <xf numFmtId="0" fontId="5" fillId="0" borderId="0"/>
    <xf numFmtId="0" fontId="10" fillId="0" borderId="0"/>
    <xf numFmtId="9" fontId="4" fillId="0" borderId="0" applyFont="0" applyFill="0" applyBorder="0" applyAlignment="0" applyProtection="0"/>
    <xf numFmtId="9" fontId="27" fillId="0" borderId="0" applyFont="0" applyFill="0" applyBorder="0" applyAlignment="0" applyProtection="0"/>
    <xf numFmtId="9" fontId="5" fillId="0" borderId="0" applyFont="0" applyFill="0" applyBorder="0" applyAlignment="0" applyProtection="0"/>
    <xf numFmtId="9" fontId="24" fillId="0" borderId="0" applyFont="0" applyFill="0" applyBorder="0" applyAlignment="0" applyProtection="0"/>
  </cellStyleXfs>
  <cellXfs count="701">
    <xf numFmtId="0" fontId="0" fillId="0" borderId="0" xfId="0"/>
    <xf numFmtId="0" fontId="0" fillId="0" borderId="0" xfId="0" applyAlignment="1">
      <alignment horizontal="center"/>
    </xf>
    <xf numFmtId="2" fontId="0" fillId="0" borderId="0" xfId="0" applyNumberFormat="1" applyAlignment="1">
      <alignment horizontal="center"/>
    </xf>
    <xf numFmtId="0" fontId="6" fillId="0" borderId="0" xfId="0" applyFont="1"/>
    <xf numFmtId="0" fontId="0" fillId="0" borderId="0" xfId="0" applyAlignment="1"/>
    <xf numFmtId="0" fontId="0" fillId="0" borderId="0" xfId="0" applyAlignment="1">
      <alignment wrapText="1"/>
    </xf>
    <xf numFmtId="0" fontId="10" fillId="2" borderId="2" xfId="5" applyFont="1" applyFill="1" applyBorder="1" applyAlignment="1">
      <alignment horizontal="center"/>
    </xf>
    <xf numFmtId="0" fontId="10" fillId="0" borderId="1" xfId="5" applyFont="1" applyFill="1" applyBorder="1" applyAlignment="1">
      <alignment horizontal="center" wrapText="1"/>
    </xf>
    <xf numFmtId="0" fontId="10" fillId="0" borderId="1" xfId="5" applyFont="1" applyFill="1" applyBorder="1" applyAlignment="1">
      <alignment wrapText="1"/>
    </xf>
    <xf numFmtId="0" fontId="10" fillId="0" borderId="1" xfId="5" applyFont="1" applyFill="1" applyBorder="1" applyAlignment="1">
      <alignment horizontal="right" wrapText="1"/>
    </xf>
    <xf numFmtId="0" fontId="10" fillId="0" borderId="0" xfId="5"/>
    <xf numFmtId="0" fontId="0" fillId="0" borderId="3" xfId="0" applyBorder="1"/>
    <xf numFmtId="0" fontId="0" fillId="0" borderId="3" xfId="0" applyBorder="1" applyAlignment="1">
      <alignment wrapText="1"/>
    </xf>
    <xf numFmtId="165" fontId="0" fillId="0" borderId="0" xfId="0" applyNumberFormat="1" applyAlignment="1">
      <alignment horizontal="center"/>
    </xf>
    <xf numFmtId="0" fontId="5" fillId="0" borderId="0" xfId="0" applyFont="1"/>
    <xf numFmtId="9" fontId="0" fillId="0" borderId="0" xfId="6" applyFont="1" applyAlignment="1">
      <alignment horizontal="center"/>
    </xf>
    <xf numFmtId="0" fontId="6" fillId="0" borderId="0" xfId="0" applyFont="1" applyAlignment="1"/>
    <xf numFmtId="0" fontId="15" fillId="0" borderId="0" xfId="0" applyFont="1"/>
    <xf numFmtId="0" fontId="15" fillId="0" borderId="0" xfId="0" applyFont="1" applyAlignment="1">
      <alignment wrapText="1"/>
    </xf>
    <xf numFmtId="0" fontId="15" fillId="0" borderId="0" xfId="0" applyFont="1" applyBorder="1" applyAlignment="1">
      <alignment vertical="top"/>
    </xf>
    <xf numFmtId="0" fontId="15" fillId="0" borderId="0" xfId="5" applyFont="1" applyFill="1" applyBorder="1" applyAlignment="1">
      <alignment horizontal="left"/>
    </xf>
    <xf numFmtId="0" fontId="15" fillId="0" borderId="1" xfId="5" applyFont="1" applyFill="1" applyBorder="1" applyAlignment="1">
      <alignment horizontal="left"/>
    </xf>
    <xf numFmtId="0" fontId="15" fillId="0" borderId="4" xfId="5" applyFont="1" applyFill="1" applyBorder="1" applyAlignment="1">
      <alignment horizontal="left"/>
    </xf>
    <xf numFmtId="2" fontId="0" fillId="0" borderId="0" xfId="0" applyNumberFormat="1" applyFill="1" applyAlignment="1">
      <alignment horizontal="center"/>
    </xf>
    <xf numFmtId="2" fontId="4" fillId="0" borderId="0" xfId="0" applyNumberFormat="1" applyFont="1" applyFill="1" applyAlignment="1">
      <alignment horizontal="center"/>
    </xf>
    <xf numFmtId="1" fontId="0" fillId="0" borderId="0" xfId="0" applyNumberFormat="1" applyFill="1" applyAlignment="1">
      <alignment horizontal="center"/>
    </xf>
    <xf numFmtId="0" fontId="6" fillId="0" borderId="3" xfId="0" applyFont="1" applyBorder="1" applyAlignment="1">
      <alignment vertical="top" wrapText="1"/>
    </xf>
    <xf numFmtId="0" fontId="13" fillId="0" borderId="3" xfId="5" applyFont="1" applyFill="1" applyBorder="1" applyAlignment="1">
      <alignment horizontal="left" wrapText="1"/>
    </xf>
    <xf numFmtId="0" fontId="14" fillId="0" borderId="3" xfId="5" applyFont="1" applyFill="1" applyBorder="1" applyAlignment="1">
      <alignment horizontal="left" wrapText="1"/>
    </xf>
    <xf numFmtId="0" fontId="6" fillId="3" borderId="3" xfId="0" applyFont="1" applyFill="1" applyBorder="1" applyAlignment="1">
      <alignment vertical="top" wrapText="1"/>
    </xf>
    <xf numFmtId="0" fontId="0" fillId="3" borderId="3" xfId="0" applyFill="1" applyBorder="1" applyAlignment="1">
      <alignment wrapText="1"/>
    </xf>
    <xf numFmtId="1" fontId="15" fillId="0" borderId="0" xfId="0" applyNumberFormat="1" applyFont="1" applyAlignment="1">
      <alignment horizontal="center"/>
    </xf>
    <xf numFmtId="1" fontId="5" fillId="0" borderId="0" xfId="0" applyNumberFormat="1" applyFont="1" applyAlignment="1">
      <alignment horizontal="center"/>
    </xf>
    <xf numFmtId="1" fontId="5" fillId="0" borderId="0" xfId="0" applyNumberFormat="1" applyFont="1" applyAlignment="1">
      <alignment horizontal="center" wrapText="1"/>
    </xf>
    <xf numFmtId="0" fontId="0" fillId="4" borderId="3" xfId="0" applyFill="1" applyBorder="1" applyAlignment="1">
      <alignment horizontal="center" vertical="center"/>
    </xf>
    <xf numFmtId="0" fontId="12" fillId="0" borderId="0" xfId="1" applyAlignment="1" applyProtection="1"/>
    <xf numFmtId="0" fontId="0" fillId="0" borderId="3" xfId="0" applyBorder="1" applyAlignment="1">
      <alignment horizontal="center" vertical="center"/>
    </xf>
    <xf numFmtId="0" fontId="0" fillId="0" borderId="3" xfId="0" applyFill="1" applyBorder="1" applyAlignment="1">
      <alignment wrapText="1"/>
    </xf>
    <xf numFmtId="0" fontId="5" fillId="0" borderId="3" xfId="0" applyFont="1" applyFill="1" applyBorder="1"/>
    <xf numFmtId="0" fontId="0" fillId="0" borderId="0" xfId="0" applyBorder="1" applyAlignment="1">
      <alignment wrapText="1"/>
    </xf>
    <xf numFmtId="0" fontId="0" fillId="3" borderId="3" xfId="0" applyFill="1" applyBorder="1" applyAlignment="1">
      <alignment horizontal="center" vertical="center"/>
    </xf>
    <xf numFmtId="9" fontId="0" fillId="3" borderId="3" xfId="6" applyFont="1" applyFill="1" applyBorder="1" applyAlignment="1">
      <alignment horizontal="center" vertical="center"/>
    </xf>
    <xf numFmtId="2" fontId="0" fillId="3" borderId="3" xfId="0" applyNumberFormat="1" applyFill="1" applyBorder="1" applyAlignment="1">
      <alignment horizontal="center" vertical="center"/>
    </xf>
    <xf numFmtId="165" fontId="0" fillId="3" borderId="3" xfId="0" applyNumberFormat="1" applyFill="1" applyBorder="1" applyAlignment="1">
      <alignment horizontal="center" vertical="center"/>
    </xf>
    <xf numFmtId="2" fontId="4" fillId="3" borderId="3" xfId="0" applyNumberFormat="1" applyFont="1" applyFill="1" applyBorder="1" applyAlignment="1">
      <alignment horizontal="center" vertical="center"/>
    </xf>
    <xf numFmtId="2" fontId="6" fillId="5" borderId="3" xfId="0" applyNumberFormat="1" applyFont="1" applyFill="1" applyBorder="1" applyAlignment="1">
      <alignment horizontal="center" vertical="center" wrapText="1"/>
    </xf>
    <xf numFmtId="2" fontId="0" fillId="4" borderId="3" xfId="0" applyNumberFormat="1" applyFill="1" applyBorder="1" applyAlignment="1">
      <alignment horizontal="center" vertical="center"/>
    </xf>
    <xf numFmtId="2" fontId="4" fillId="4" borderId="3" xfId="0" applyNumberFormat="1" applyFont="1" applyFill="1" applyBorder="1" applyAlignment="1">
      <alignment horizontal="center" vertical="center"/>
    </xf>
    <xf numFmtId="2" fontId="0" fillId="0" borderId="3" xfId="0" applyNumberFormat="1" applyBorder="1" applyAlignment="1">
      <alignment horizontal="center" vertical="center"/>
    </xf>
    <xf numFmtId="2" fontId="0" fillId="0" borderId="3" xfId="0" applyNumberFormat="1" applyBorder="1" applyAlignment="1">
      <alignment horizontal="center" vertical="center" wrapText="1"/>
    </xf>
    <xf numFmtId="2" fontId="20" fillId="0" borderId="5" xfId="0" applyNumberFormat="1" applyFont="1" applyFill="1" applyBorder="1" applyAlignment="1">
      <alignment horizontal="left"/>
    </xf>
    <xf numFmtId="0" fontId="18" fillId="0" borderId="0" xfId="0" applyFont="1"/>
    <xf numFmtId="0" fontId="21" fillId="0" borderId="0" xfId="0" applyFont="1"/>
    <xf numFmtId="0" fontId="21" fillId="0" borderId="0" xfId="0" applyFont="1" applyBorder="1" applyAlignment="1">
      <alignment vertical="top"/>
    </xf>
    <xf numFmtId="0" fontId="18" fillId="0" borderId="0" xfId="0" applyFont="1" applyAlignment="1"/>
    <xf numFmtId="2" fontId="20" fillId="0" borderId="5" xfId="0" applyNumberFormat="1" applyFont="1" applyFill="1" applyBorder="1" applyAlignment="1">
      <alignment horizontal="center" wrapText="1"/>
    </xf>
    <xf numFmtId="0" fontId="20" fillId="0" borderId="0" xfId="0" applyFont="1" applyAlignment="1">
      <alignment wrapText="1"/>
    </xf>
    <xf numFmtId="0" fontId="21" fillId="0" borderId="0" xfId="0" applyFont="1" applyAlignment="1">
      <alignment wrapText="1"/>
    </xf>
    <xf numFmtId="1" fontId="18" fillId="0" borderId="0" xfId="0" applyNumberFormat="1" applyFont="1" applyFill="1" applyAlignment="1">
      <alignment horizontal="center" vertical="center"/>
    </xf>
    <xf numFmtId="2" fontId="18" fillId="0" borderId="3" xfId="0" applyNumberFormat="1" applyFont="1" applyBorder="1" applyAlignment="1">
      <alignment horizontal="center" vertical="center"/>
    </xf>
    <xf numFmtId="0" fontId="18" fillId="0" borderId="3" xfId="0" applyFont="1" applyBorder="1" applyAlignment="1">
      <alignment horizontal="left" vertical="center" wrapText="1"/>
    </xf>
    <xf numFmtId="0" fontId="18" fillId="0" borderId="0" xfId="0" applyFont="1" applyAlignment="1">
      <alignment horizontal="center" vertical="center"/>
    </xf>
    <xf numFmtId="2" fontId="18" fillId="0" borderId="0" xfId="0" applyNumberFormat="1" applyFont="1" applyFill="1" applyAlignment="1">
      <alignment horizontal="center"/>
    </xf>
    <xf numFmtId="2" fontId="18" fillId="0" borderId="3" xfId="0" applyNumberFormat="1" applyFont="1" applyFill="1" applyBorder="1" applyAlignment="1">
      <alignment horizontal="center" vertical="center" wrapText="1"/>
    </xf>
    <xf numFmtId="165" fontId="10" fillId="6" borderId="3" xfId="5" applyNumberFormat="1" applyFont="1" applyFill="1" applyBorder="1" applyAlignment="1">
      <alignment horizontal="center" vertical="center" wrapText="1"/>
    </xf>
    <xf numFmtId="9" fontId="0" fillId="4" borderId="3" xfId="6" applyFont="1" applyFill="1" applyBorder="1" applyAlignment="1">
      <alignment horizontal="center" vertical="center"/>
    </xf>
    <xf numFmtId="165" fontId="0" fillId="4" borderId="3" xfId="0" applyNumberFormat="1" applyFill="1" applyBorder="1" applyAlignment="1">
      <alignment horizontal="center" vertical="center"/>
    </xf>
    <xf numFmtId="2" fontId="4" fillId="0" borderId="3" xfId="0" applyNumberFormat="1" applyFont="1" applyFill="1" applyBorder="1" applyAlignment="1">
      <alignment horizontal="center" vertical="center"/>
    </xf>
    <xf numFmtId="9" fontId="0" fillId="0" borderId="3" xfId="6" applyFont="1" applyBorder="1" applyAlignment="1">
      <alignment horizontal="center" vertical="center"/>
    </xf>
    <xf numFmtId="165" fontId="0" fillId="0" borderId="3" xfId="0" applyNumberFormat="1" applyBorder="1" applyAlignment="1">
      <alignment horizontal="center" vertical="center"/>
    </xf>
    <xf numFmtId="2" fontId="4" fillId="0" borderId="3" xfId="0" applyNumberFormat="1" applyFont="1" applyBorder="1" applyAlignment="1">
      <alignment horizontal="center" vertical="center"/>
    </xf>
    <xf numFmtId="2" fontId="5" fillId="0" borderId="3" xfId="0" applyNumberFormat="1" applyFont="1" applyFill="1" applyBorder="1" applyAlignment="1">
      <alignment horizontal="center" vertical="center"/>
    </xf>
    <xf numFmtId="0" fontId="6" fillId="7" borderId="6" xfId="0" applyFont="1" applyFill="1" applyBorder="1" applyAlignment="1">
      <alignment horizontal="center" vertical="center" wrapText="1"/>
    </xf>
    <xf numFmtId="2" fontId="0" fillId="3" borderId="3" xfId="0" applyNumberFormat="1" applyFill="1" applyBorder="1" applyAlignment="1">
      <alignment horizontal="center" vertical="center" wrapText="1"/>
    </xf>
    <xf numFmtId="0" fontId="0" fillId="0" borderId="3" xfId="0" applyFill="1" applyBorder="1" applyAlignment="1">
      <alignment horizontal="center" vertical="center"/>
    </xf>
    <xf numFmtId="9" fontId="0" fillId="0" borderId="3" xfId="6" applyFont="1" applyFill="1" applyBorder="1" applyAlignment="1">
      <alignment horizontal="center" vertical="center"/>
    </xf>
    <xf numFmtId="2" fontId="0" fillId="0" borderId="3" xfId="0" applyNumberFormat="1" applyFill="1" applyBorder="1" applyAlignment="1">
      <alignment horizontal="center" vertical="center"/>
    </xf>
    <xf numFmtId="2" fontId="0" fillId="0" borderId="3" xfId="0" applyNumberFormat="1" applyFill="1" applyBorder="1" applyAlignment="1">
      <alignment horizontal="center" vertical="center" wrapText="1"/>
    </xf>
    <xf numFmtId="165" fontId="0" fillId="0" borderId="3" xfId="0" applyNumberFormat="1" applyFill="1" applyBorder="1" applyAlignment="1">
      <alignment horizontal="center" vertical="center"/>
    </xf>
    <xf numFmtId="2" fontId="20" fillId="0" borderId="3" xfId="0" applyNumberFormat="1" applyFont="1" applyBorder="1" applyAlignment="1">
      <alignment horizontal="left" vertical="center"/>
    </xf>
    <xf numFmtId="0" fontId="20" fillId="0" borderId="3" xfId="0" applyFont="1" applyBorder="1" applyAlignment="1">
      <alignment horizontal="left" vertical="center"/>
    </xf>
    <xf numFmtId="0" fontId="20" fillId="0" borderId="7" xfId="0" applyFont="1" applyBorder="1" applyAlignment="1">
      <alignment horizontal="left" vertical="center" wrapText="1"/>
    </xf>
    <xf numFmtId="2" fontId="18" fillId="0" borderId="3" xfId="0" applyNumberFormat="1" applyFont="1" applyBorder="1" applyAlignment="1">
      <alignment horizontal="center" vertical="center" wrapText="1"/>
    </xf>
    <xf numFmtId="2" fontId="18" fillId="0" borderId="3" xfId="0" applyNumberFormat="1" applyFont="1" applyBorder="1" applyAlignment="1">
      <alignment horizontal="left" vertical="center" wrapText="1"/>
    </xf>
    <xf numFmtId="0" fontId="7" fillId="0" borderId="3" xfId="0" applyFont="1" applyBorder="1" applyAlignment="1">
      <alignment horizontal="left" vertical="center" wrapText="1"/>
    </xf>
    <xf numFmtId="0" fontId="5" fillId="0" borderId="0" xfId="0" applyFont="1" applyAlignment="1">
      <alignment horizontal="center"/>
    </xf>
    <xf numFmtId="2" fontId="7" fillId="0" borderId="6" xfId="0" applyNumberFormat="1" applyFont="1" applyFill="1" applyBorder="1" applyAlignment="1">
      <alignment horizontal="center" vertical="center"/>
    </xf>
    <xf numFmtId="0" fontId="31" fillId="0" borderId="0" xfId="0" applyFont="1" applyAlignment="1">
      <alignment vertical="top" wrapText="1"/>
    </xf>
    <xf numFmtId="2" fontId="5" fillId="0" borderId="0" xfId="0" applyNumberFormat="1" applyFont="1" applyAlignment="1">
      <alignment horizontal="center" vertical="center"/>
    </xf>
    <xf numFmtId="0" fontId="7" fillId="0" borderId="3" xfId="0" applyFont="1" applyBorder="1" applyAlignment="1">
      <alignment vertical="top" wrapText="1"/>
    </xf>
    <xf numFmtId="0" fontId="7" fillId="0" borderId="3" xfId="0" applyFont="1" applyBorder="1" applyAlignment="1">
      <alignment horizontal="left" vertical="top" wrapText="1"/>
    </xf>
    <xf numFmtId="0" fontId="7" fillId="0" borderId="0" xfId="0" applyFont="1"/>
    <xf numFmtId="2" fontId="7" fillId="0" borderId="0" xfId="0" applyNumberFormat="1" applyFont="1" applyFill="1" applyAlignment="1">
      <alignment horizontal="center"/>
    </xf>
    <xf numFmtId="2" fontId="7" fillId="0" borderId="3" xfId="0" applyNumberFormat="1" applyFont="1" applyBorder="1" applyAlignment="1">
      <alignment horizontal="center" vertical="center"/>
    </xf>
    <xf numFmtId="2" fontId="7" fillId="0" borderId="3" xfId="0" applyNumberFormat="1" applyFont="1" applyFill="1" applyBorder="1" applyAlignment="1">
      <alignment horizontal="center" vertical="center" wrapText="1"/>
    </xf>
    <xf numFmtId="0" fontId="7" fillId="0" borderId="0" xfId="0" applyFont="1" applyAlignment="1"/>
    <xf numFmtId="10" fontId="7" fillId="0" borderId="3" xfId="6" applyNumberFormat="1" applyFont="1" applyFill="1" applyBorder="1" applyAlignment="1">
      <alignment horizontal="center" vertical="center" wrapText="1"/>
    </xf>
    <xf numFmtId="168" fontId="7" fillId="0" borderId="3" xfId="6" applyNumberFormat="1" applyFont="1" applyBorder="1" applyAlignment="1">
      <alignment horizontal="center" vertical="center" wrapText="1"/>
    </xf>
    <xf numFmtId="2" fontId="7" fillId="0" borderId="7" xfId="0" applyNumberFormat="1" applyFont="1" applyFill="1" applyBorder="1" applyAlignment="1">
      <alignment horizontal="center" vertical="center" wrapText="1"/>
    </xf>
    <xf numFmtId="2" fontId="7" fillId="0" borderId="7" xfId="0" applyNumberFormat="1" applyFont="1" applyBorder="1" applyAlignment="1">
      <alignment horizontal="center" vertical="center"/>
    </xf>
    <xf numFmtId="2" fontId="7" fillId="0" borderId="0" xfId="0" applyNumberFormat="1" applyFont="1" applyAlignment="1">
      <alignment horizontal="center" vertical="center"/>
    </xf>
    <xf numFmtId="0" fontId="7" fillId="0" borderId="7" xfId="0" applyFont="1" applyBorder="1" applyAlignment="1">
      <alignment horizontal="left" vertical="center" wrapText="1"/>
    </xf>
    <xf numFmtId="0" fontId="0" fillId="0" borderId="0" xfId="0" applyAlignment="1">
      <alignment horizontal="center" vertical="center"/>
    </xf>
    <xf numFmtId="9" fontId="0" fillId="0" borderId="0" xfId="6" applyFont="1" applyAlignment="1">
      <alignment horizontal="center" vertical="center"/>
    </xf>
    <xf numFmtId="2" fontId="0" fillId="0" borderId="0" xfId="0" applyNumberFormat="1" applyAlignment="1">
      <alignment horizontal="center" vertical="center"/>
    </xf>
    <xf numFmtId="165" fontId="0" fillId="0" borderId="0" xfId="0" applyNumberFormat="1" applyAlignment="1">
      <alignment horizontal="center" vertical="center"/>
    </xf>
    <xf numFmtId="0" fontId="7" fillId="0" borderId="3" xfId="0" applyFont="1" applyBorder="1" applyAlignment="1">
      <alignment horizontal="left" vertical="top"/>
    </xf>
    <xf numFmtId="166" fontId="7" fillId="0" borderId="3" xfId="0" applyNumberFormat="1" applyFont="1" applyBorder="1" applyAlignment="1">
      <alignment horizontal="center" vertical="center"/>
    </xf>
    <xf numFmtId="0" fontId="7" fillId="0" borderId="3" xfId="0" applyFont="1" applyBorder="1" applyAlignment="1">
      <alignment horizontal="center" vertical="center"/>
    </xf>
    <xf numFmtId="165" fontId="7" fillId="0" borderId="3" xfId="0" applyNumberFormat="1" applyFont="1" applyBorder="1" applyAlignment="1">
      <alignment horizontal="center" vertical="center"/>
    </xf>
    <xf numFmtId="0" fontId="0" fillId="4" borderId="0" xfId="0" applyFill="1" applyProtection="1">
      <protection hidden="1"/>
    </xf>
    <xf numFmtId="0" fontId="5" fillId="0" borderId="3" xfId="0" applyFont="1" applyFill="1" applyBorder="1" applyAlignment="1" applyProtection="1">
      <alignment horizontal="center" vertical="center"/>
      <protection hidden="1"/>
    </xf>
    <xf numFmtId="168" fontId="5" fillId="0" borderId="3" xfId="6" applyNumberFormat="1" applyFont="1" applyFill="1" applyBorder="1" applyAlignment="1" applyProtection="1">
      <alignment horizontal="center" vertical="center"/>
      <protection hidden="1"/>
    </xf>
    <xf numFmtId="0" fontId="32" fillId="9" borderId="0" xfId="0" applyFont="1" applyFill="1" applyBorder="1" applyProtection="1">
      <protection hidden="1"/>
    </xf>
    <xf numFmtId="0" fontId="32" fillId="9" borderId="0" xfId="0" applyFont="1" applyFill="1" applyBorder="1" applyAlignment="1" applyProtection="1">
      <alignment horizontal="center" wrapText="1"/>
      <protection hidden="1"/>
    </xf>
    <xf numFmtId="0" fontId="32" fillId="10" borderId="5" xfId="0" applyFont="1" applyFill="1" applyBorder="1" applyAlignment="1" applyProtection="1">
      <alignment horizontal="center" vertical="center"/>
      <protection hidden="1"/>
    </xf>
    <xf numFmtId="0" fontId="32" fillId="10" borderId="3" xfId="0" applyFont="1" applyFill="1" applyBorder="1" applyAlignment="1" applyProtection="1">
      <alignment horizontal="center" vertical="center"/>
      <protection hidden="1"/>
    </xf>
    <xf numFmtId="0" fontId="32" fillId="9" borderId="0" xfId="0" applyFont="1" applyFill="1" applyProtection="1">
      <protection hidden="1"/>
    </xf>
    <xf numFmtId="0" fontId="33" fillId="9" borderId="0" xfId="0" applyFont="1" applyFill="1" applyBorder="1" applyAlignment="1" applyProtection="1">
      <alignment horizontal="right" vertical="center"/>
      <protection hidden="1"/>
    </xf>
    <xf numFmtId="2" fontId="32" fillId="10" borderId="3" xfId="0" applyNumberFormat="1" applyFont="1" applyFill="1" applyBorder="1" applyAlignment="1" applyProtection="1">
      <alignment horizontal="center" vertical="center" wrapText="1"/>
      <protection hidden="1"/>
    </xf>
    <xf numFmtId="0" fontId="32" fillId="10" borderId="3" xfId="0" applyFont="1" applyFill="1" applyBorder="1" applyAlignment="1" applyProtection="1">
      <alignment horizontal="center" vertical="center" wrapText="1"/>
      <protection hidden="1"/>
    </xf>
    <xf numFmtId="2" fontId="32" fillId="10" borderId="3" xfId="0" applyNumberFormat="1" applyFont="1" applyFill="1" applyBorder="1" applyAlignment="1" applyProtection="1">
      <alignment horizontal="center" vertical="center"/>
      <protection hidden="1"/>
    </xf>
    <xf numFmtId="0" fontId="32" fillId="10" borderId="8" xfId="0" applyFont="1" applyFill="1" applyBorder="1" applyAlignment="1" applyProtection="1">
      <alignment horizontal="center" vertical="center" wrapText="1"/>
      <protection hidden="1"/>
    </xf>
    <xf numFmtId="2" fontId="32" fillId="10" borderId="5" xfId="0" applyNumberFormat="1" applyFont="1" applyFill="1" applyBorder="1" applyAlignment="1" applyProtection="1">
      <alignment vertical="center"/>
      <protection hidden="1"/>
    </xf>
    <xf numFmtId="2" fontId="32" fillId="10" borderId="5" xfId="0" applyNumberFormat="1" applyFont="1" applyFill="1" applyBorder="1" applyAlignment="1" applyProtection="1">
      <alignment horizontal="center" vertical="center"/>
      <protection hidden="1"/>
    </xf>
    <xf numFmtId="165" fontId="32" fillId="10" borderId="5" xfId="0" applyNumberFormat="1" applyFont="1" applyFill="1" applyBorder="1" applyAlignment="1" applyProtection="1">
      <alignment horizontal="center" vertical="center"/>
      <protection hidden="1"/>
    </xf>
    <xf numFmtId="2" fontId="32" fillId="5" borderId="5" xfId="0" applyNumberFormat="1" applyFont="1" applyFill="1" applyBorder="1" applyAlignment="1" applyProtection="1">
      <alignment horizontal="center" vertical="center"/>
      <protection hidden="1"/>
    </xf>
    <xf numFmtId="2" fontId="32" fillId="5" borderId="3" xfId="0" applyNumberFormat="1" applyFont="1" applyFill="1" applyBorder="1" applyAlignment="1" applyProtection="1">
      <alignment horizontal="center" vertical="center" wrapText="1"/>
      <protection hidden="1"/>
    </xf>
    <xf numFmtId="2" fontId="32" fillId="10" borderId="3" xfId="0" applyNumberFormat="1" applyFont="1" applyFill="1" applyBorder="1" applyAlignment="1" applyProtection="1">
      <alignment horizontal="left" vertical="center"/>
      <protection hidden="1"/>
    </xf>
    <xf numFmtId="2" fontId="32" fillId="10" borderId="9" xfId="0" applyNumberFormat="1" applyFont="1" applyFill="1" applyBorder="1" applyAlignment="1" applyProtection="1">
      <alignment horizontal="center" vertical="center"/>
      <protection hidden="1"/>
    </xf>
    <xf numFmtId="2" fontId="32" fillId="10" borderId="3" xfId="0" applyNumberFormat="1" applyFont="1" applyFill="1" applyBorder="1" applyAlignment="1" applyProtection="1">
      <alignment vertical="center"/>
      <protection hidden="1"/>
    </xf>
    <xf numFmtId="165" fontId="32" fillId="10" borderId="3" xfId="0" applyNumberFormat="1" applyFont="1" applyFill="1" applyBorder="1" applyAlignment="1" applyProtection="1">
      <alignment horizontal="center" vertical="center"/>
      <protection hidden="1"/>
    </xf>
    <xf numFmtId="0" fontId="33" fillId="10" borderId="9" xfId="0" applyFont="1" applyFill="1" applyBorder="1" applyAlignment="1" applyProtection="1">
      <alignment horizontal="center" vertical="center"/>
      <protection hidden="1"/>
    </xf>
    <xf numFmtId="0" fontId="32" fillId="10" borderId="9" xfId="0" applyFont="1" applyFill="1" applyBorder="1" applyAlignment="1" applyProtection="1">
      <alignment horizontal="center" vertical="center"/>
      <protection hidden="1"/>
    </xf>
    <xf numFmtId="0" fontId="32" fillId="10" borderId="10" xfId="0" applyFont="1" applyFill="1" applyBorder="1" applyAlignment="1" applyProtection="1">
      <alignment horizontal="right" vertical="center"/>
      <protection hidden="1"/>
    </xf>
    <xf numFmtId="1" fontId="32" fillId="10" borderId="3" xfId="0" applyNumberFormat="1" applyFont="1" applyFill="1" applyBorder="1" applyAlignment="1" applyProtection="1">
      <alignment horizontal="center" vertical="center"/>
      <protection hidden="1"/>
    </xf>
    <xf numFmtId="0" fontId="33" fillId="9" borderId="0" xfId="0" applyFont="1" applyFill="1" applyBorder="1" applyProtection="1">
      <protection hidden="1"/>
    </xf>
    <xf numFmtId="0" fontId="32" fillId="9" borderId="0" xfId="0" applyFont="1" applyFill="1" applyBorder="1" applyAlignment="1" applyProtection="1">
      <alignment horizontal="center"/>
      <protection hidden="1"/>
    </xf>
    <xf numFmtId="0" fontId="32" fillId="11" borderId="3" xfId="0" applyFont="1" applyFill="1" applyBorder="1" applyAlignment="1" applyProtection="1">
      <alignment horizontal="center" wrapText="1"/>
      <protection hidden="1"/>
    </xf>
    <xf numFmtId="0" fontId="32" fillId="11" borderId="10" xfId="0" applyFont="1" applyFill="1" applyBorder="1" applyAlignment="1" applyProtection="1">
      <alignment horizontal="center" wrapText="1"/>
      <protection hidden="1"/>
    </xf>
    <xf numFmtId="0" fontId="32" fillId="9" borderId="0" xfId="0" applyFont="1" applyFill="1" applyBorder="1" applyAlignment="1" applyProtection="1">
      <alignment horizontal="right" vertical="center"/>
      <protection hidden="1"/>
    </xf>
    <xf numFmtId="0" fontId="34" fillId="9" borderId="0" xfId="0" applyFont="1" applyFill="1" applyBorder="1" applyProtection="1">
      <protection hidden="1"/>
    </xf>
    <xf numFmtId="0" fontId="35" fillId="9" borderId="0" xfId="0" applyFont="1" applyFill="1" applyBorder="1" applyProtection="1">
      <protection hidden="1"/>
    </xf>
    <xf numFmtId="0" fontId="32" fillId="11" borderId="5" xfId="0" applyFont="1" applyFill="1" applyBorder="1" applyAlignment="1" applyProtection="1">
      <alignment horizontal="left"/>
      <protection hidden="1"/>
    </xf>
    <xf numFmtId="0" fontId="32" fillId="4" borderId="0" xfId="0" applyFont="1" applyFill="1" applyProtection="1">
      <protection hidden="1"/>
    </xf>
    <xf numFmtId="0" fontId="32" fillId="4" borderId="0" xfId="0" applyFont="1" applyFill="1" applyAlignment="1" applyProtection="1">
      <alignment horizontal="center" wrapText="1"/>
      <protection hidden="1"/>
    </xf>
    <xf numFmtId="0" fontId="32" fillId="4" borderId="0" xfId="0" applyFont="1" applyFill="1" applyAlignment="1" applyProtection="1">
      <alignment horizontal="right"/>
      <protection hidden="1"/>
    </xf>
    <xf numFmtId="9" fontId="36" fillId="4" borderId="0" xfId="6" applyFont="1" applyFill="1" applyProtection="1">
      <protection hidden="1"/>
    </xf>
    <xf numFmtId="0" fontId="32" fillId="4" borderId="0" xfId="0" applyFont="1" applyFill="1" applyBorder="1" applyProtection="1">
      <protection hidden="1"/>
    </xf>
    <xf numFmtId="0" fontId="32" fillId="0" borderId="0" xfId="0" applyFont="1" applyProtection="1">
      <protection hidden="1"/>
    </xf>
    <xf numFmtId="0" fontId="32" fillId="4" borderId="0" xfId="0" applyFont="1" applyFill="1" applyAlignment="1" applyProtection="1">
      <alignment horizontal="center"/>
      <protection hidden="1"/>
    </xf>
    <xf numFmtId="9" fontId="37" fillId="4" borderId="0" xfId="6" applyFont="1" applyFill="1" applyAlignment="1" applyProtection="1">
      <alignment horizontal="center"/>
      <protection hidden="1"/>
    </xf>
    <xf numFmtId="168" fontId="37" fillId="4" borderId="0" xfId="6" applyNumberFormat="1" applyFont="1" applyFill="1" applyAlignment="1" applyProtection="1">
      <alignment horizontal="center"/>
      <protection hidden="1"/>
    </xf>
    <xf numFmtId="0" fontId="38" fillId="4" borderId="0" xfId="0" applyFont="1" applyFill="1" applyProtection="1">
      <protection hidden="1"/>
    </xf>
    <xf numFmtId="10" fontId="32" fillId="4" borderId="0" xfId="0" applyNumberFormat="1" applyFont="1" applyFill="1" applyAlignment="1" applyProtection="1">
      <alignment horizontal="center"/>
      <protection hidden="1"/>
    </xf>
    <xf numFmtId="168" fontId="32" fillId="4" borderId="0" xfId="6" applyNumberFormat="1" applyFont="1" applyFill="1" applyAlignment="1" applyProtection="1">
      <alignment horizontal="center"/>
      <protection hidden="1"/>
    </xf>
    <xf numFmtId="2" fontId="32" fillId="4" borderId="0" xfId="0" applyNumberFormat="1" applyFont="1" applyFill="1" applyProtection="1">
      <protection hidden="1"/>
    </xf>
    <xf numFmtId="0" fontId="32" fillId="4" borderId="0" xfId="0" applyFont="1" applyFill="1" applyBorder="1" applyAlignment="1" applyProtection="1">
      <alignment horizontal="center" wrapText="1"/>
      <protection hidden="1"/>
    </xf>
    <xf numFmtId="2" fontId="32" fillId="4" borderId="0" xfId="0" applyNumberFormat="1" applyFont="1" applyFill="1" applyAlignment="1" applyProtection="1">
      <alignment horizontal="center"/>
      <protection hidden="1"/>
    </xf>
    <xf numFmtId="2" fontId="32" fillId="4" borderId="0" xfId="0" applyNumberFormat="1" applyFont="1" applyFill="1" applyBorder="1" applyProtection="1">
      <protection hidden="1"/>
    </xf>
    <xf numFmtId="0" fontId="32" fillId="4" borderId="0" xfId="0" applyFont="1" applyFill="1" applyBorder="1" applyAlignment="1" applyProtection="1">
      <alignment horizontal="right" vertical="center"/>
      <protection hidden="1"/>
    </xf>
    <xf numFmtId="0" fontId="39" fillId="4" borderId="0" xfId="0" applyFont="1" applyFill="1" applyProtection="1">
      <protection hidden="1"/>
    </xf>
    <xf numFmtId="2" fontId="32" fillId="4" borderId="0" xfId="0" applyNumberFormat="1" applyFont="1" applyFill="1" applyBorder="1" applyAlignment="1" applyProtection="1">
      <alignment horizontal="center" vertical="center"/>
      <protection hidden="1"/>
    </xf>
    <xf numFmtId="0" fontId="32" fillId="4" borderId="0" xfId="0" applyFont="1" applyFill="1" applyBorder="1" applyAlignment="1" applyProtection="1">
      <alignment horizontal="right"/>
      <protection hidden="1"/>
    </xf>
    <xf numFmtId="0" fontId="32" fillId="4" borderId="0" xfId="0" applyFont="1" applyFill="1" applyBorder="1" applyAlignment="1" applyProtection="1">
      <alignment horizontal="center"/>
      <protection hidden="1"/>
    </xf>
    <xf numFmtId="0" fontId="33" fillId="4" borderId="0" xfId="0" applyFont="1" applyFill="1" applyBorder="1" applyAlignment="1" applyProtection="1">
      <alignment horizontal="center" wrapText="1"/>
      <protection hidden="1"/>
    </xf>
    <xf numFmtId="0" fontId="32" fillId="10" borderId="10" xfId="0" applyFont="1" applyFill="1" applyBorder="1" applyProtection="1">
      <protection hidden="1"/>
    </xf>
    <xf numFmtId="0" fontId="36" fillId="4" borderId="0" xfId="0" applyFont="1" applyFill="1" applyBorder="1" applyProtection="1">
      <protection hidden="1"/>
    </xf>
    <xf numFmtId="0" fontId="32" fillId="9" borderId="0" xfId="0" applyFont="1" applyFill="1" applyBorder="1" applyAlignment="1" applyProtection="1">
      <alignment vertical="center"/>
      <protection hidden="1"/>
    </xf>
    <xf numFmtId="0" fontId="40" fillId="9" borderId="0" xfId="0" applyFont="1" applyFill="1" applyBorder="1" applyAlignment="1" applyProtection="1">
      <alignment horizontal="center" wrapText="1"/>
      <protection hidden="1"/>
    </xf>
    <xf numFmtId="0" fontId="32" fillId="9" borderId="0" xfId="0" applyFont="1" applyFill="1" applyBorder="1" applyAlignment="1" applyProtection="1">
      <alignment horizontal="center" vertical="center"/>
      <protection hidden="1"/>
    </xf>
    <xf numFmtId="9" fontId="32" fillId="4" borderId="0" xfId="6" applyFont="1" applyFill="1" applyProtection="1">
      <protection hidden="1"/>
    </xf>
    <xf numFmtId="0" fontId="32" fillId="4" borderId="0" xfId="0" applyFont="1" applyFill="1" applyAlignment="1" applyProtection="1">
      <alignment horizontal="left" vertical="center"/>
      <protection hidden="1"/>
    </xf>
    <xf numFmtId="2" fontId="32" fillId="4" borderId="0" xfId="6" applyNumberFormat="1" applyFont="1" applyFill="1" applyProtection="1">
      <protection hidden="1"/>
    </xf>
    <xf numFmtId="0" fontId="32" fillId="12" borderId="0" xfId="0" applyFont="1" applyFill="1" applyAlignment="1" applyProtection="1">
      <alignment horizontal="center"/>
      <protection hidden="1"/>
    </xf>
    <xf numFmtId="9" fontId="32" fillId="12" borderId="0" xfId="6" applyFont="1" applyFill="1" applyBorder="1" applyAlignment="1" applyProtection="1">
      <alignment horizontal="center" vertical="center"/>
      <protection hidden="1"/>
    </xf>
    <xf numFmtId="0" fontId="32" fillId="12" borderId="0" xfId="0" applyFont="1" applyFill="1" applyProtection="1">
      <protection hidden="1"/>
    </xf>
    <xf numFmtId="0" fontId="33" fillId="9" borderId="0" xfId="0" applyFont="1" applyFill="1" applyBorder="1" applyAlignment="1" applyProtection="1">
      <alignment horizontal="center" vertical="center"/>
      <protection hidden="1"/>
    </xf>
    <xf numFmtId="164" fontId="32" fillId="4" borderId="0" xfId="6" applyNumberFormat="1" applyFont="1" applyFill="1" applyAlignment="1" applyProtection="1">
      <alignment horizontal="center"/>
      <protection hidden="1"/>
    </xf>
    <xf numFmtId="9" fontId="32" fillId="4" borderId="0" xfId="6" applyFont="1" applyFill="1" applyAlignment="1" applyProtection="1">
      <alignment horizontal="center"/>
      <protection hidden="1"/>
    </xf>
    <xf numFmtId="10" fontId="32" fillId="4" borderId="0" xfId="0" applyNumberFormat="1" applyFont="1" applyFill="1" applyBorder="1" applyAlignment="1" applyProtection="1">
      <alignment horizontal="right"/>
      <protection hidden="1"/>
    </xf>
    <xf numFmtId="2" fontId="32" fillId="4" borderId="0" xfId="0" applyNumberFormat="1" applyFont="1" applyFill="1" applyAlignment="1" applyProtection="1">
      <protection hidden="1"/>
    </xf>
    <xf numFmtId="0" fontId="32" fillId="4" borderId="0" xfId="0" applyFont="1" applyFill="1" applyAlignment="1" applyProtection="1">
      <alignment horizontal="left"/>
      <protection hidden="1"/>
    </xf>
    <xf numFmtId="9" fontId="36" fillId="9" borderId="0" xfId="6" applyFont="1" applyFill="1" applyBorder="1" applyAlignment="1" applyProtection="1">
      <alignment horizontal="right"/>
      <protection hidden="1"/>
    </xf>
    <xf numFmtId="0" fontId="36" fillId="9" borderId="0" xfId="0" applyFont="1" applyFill="1" applyBorder="1" applyAlignment="1" applyProtection="1">
      <alignment horizontal="left"/>
      <protection hidden="1"/>
    </xf>
    <xf numFmtId="168" fontId="36" fillId="9" borderId="0" xfId="6" applyNumberFormat="1" applyFont="1" applyFill="1" applyAlignment="1" applyProtection="1">
      <alignment horizontal="right"/>
      <protection hidden="1"/>
    </xf>
    <xf numFmtId="0" fontId="36" fillId="9" borderId="0" xfId="0" applyFont="1" applyFill="1" applyAlignment="1" applyProtection="1">
      <alignment horizontal="left"/>
      <protection hidden="1"/>
    </xf>
    <xf numFmtId="0" fontId="32" fillId="9" borderId="0" xfId="0" applyFont="1" applyFill="1" applyAlignment="1" applyProtection="1">
      <alignment horizontal="center" wrapText="1"/>
      <protection hidden="1"/>
    </xf>
    <xf numFmtId="166" fontId="32" fillId="4" borderId="0" xfId="0" applyNumberFormat="1" applyFont="1" applyFill="1" applyProtection="1">
      <protection hidden="1"/>
    </xf>
    <xf numFmtId="0" fontId="32" fillId="4" borderId="0" xfId="0" applyFont="1" applyFill="1" applyBorder="1" applyAlignment="1" applyProtection="1">
      <alignment horizontal="left" vertical="center"/>
      <protection hidden="1"/>
    </xf>
    <xf numFmtId="1" fontId="32" fillId="4" borderId="0" xfId="0" applyNumberFormat="1" applyFont="1" applyFill="1" applyBorder="1" applyAlignment="1" applyProtection="1">
      <alignment horizontal="center" vertical="center"/>
      <protection hidden="1"/>
    </xf>
    <xf numFmtId="0" fontId="36" fillId="9" borderId="0" xfId="0" applyFont="1" applyFill="1" applyProtection="1">
      <protection hidden="1"/>
    </xf>
    <xf numFmtId="9" fontId="32" fillId="9" borderId="0" xfId="6" applyNumberFormat="1" applyFont="1" applyFill="1" applyAlignment="1" applyProtection="1">
      <alignment horizontal="center"/>
      <protection hidden="1"/>
    </xf>
    <xf numFmtId="168" fontId="32" fillId="9" borderId="0" xfId="6" applyNumberFormat="1" applyFont="1" applyFill="1" applyAlignment="1" applyProtection="1">
      <alignment horizontal="center"/>
      <protection hidden="1"/>
    </xf>
    <xf numFmtId="0" fontId="32" fillId="4" borderId="0" xfId="0" applyFont="1" applyFill="1" applyBorder="1" applyAlignment="1" applyProtection="1">
      <alignment vertical="top"/>
      <protection hidden="1"/>
    </xf>
    <xf numFmtId="0" fontId="32" fillId="6" borderId="0" xfId="5" applyFont="1" applyFill="1" applyBorder="1" applyAlignment="1" applyProtection="1">
      <alignment horizontal="left"/>
      <protection hidden="1"/>
    </xf>
    <xf numFmtId="0" fontId="32" fillId="6" borderId="0" xfId="5" applyFont="1" applyFill="1" applyBorder="1" applyAlignment="1" applyProtection="1">
      <alignment horizontal="right"/>
      <protection hidden="1"/>
    </xf>
    <xf numFmtId="0" fontId="32" fillId="0" borderId="0" xfId="0" applyFont="1" applyAlignment="1" applyProtection="1">
      <alignment horizontal="center" wrapText="1"/>
      <protection hidden="1"/>
    </xf>
    <xf numFmtId="2" fontId="32" fillId="10" borderId="11" xfId="0" applyNumberFormat="1" applyFont="1" applyFill="1" applyBorder="1" applyAlignment="1" applyProtection="1">
      <alignment vertical="center"/>
      <protection hidden="1"/>
    </xf>
    <xf numFmtId="2" fontId="32" fillId="10" borderId="11" xfId="0" applyNumberFormat="1" applyFont="1" applyFill="1" applyBorder="1" applyAlignment="1" applyProtection="1">
      <alignment horizontal="center" vertical="center"/>
      <protection hidden="1"/>
    </xf>
    <xf numFmtId="1" fontId="32" fillId="10" borderId="11" xfId="0" applyNumberFormat="1" applyFont="1" applyFill="1" applyBorder="1" applyAlignment="1" applyProtection="1">
      <alignment horizontal="center" vertical="center"/>
      <protection hidden="1"/>
    </xf>
    <xf numFmtId="2" fontId="32" fillId="10" borderId="11" xfId="0" applyNumberFormat="1" applyFont="1" applyFill="1" applyBorder="1" applyAlignment="1" applyProtection="1">
      <alignment horizontal="center" vertical="center" wrapText="1"/>
      <protection hidden="1"/>
    </xf>
    <xf numFmtId="2" fontId="32" fillId="10" borderId="7" xfId="0" applyNumberFormat="1" applyFont="1" applyFill="1" applyBorder="1" applyAlignment="1" applyProtection="1">
      <alignment vertical="center"/>
      <protection hidden="1"/>
    </xf>
    <xf numFmtId="2" fontId="32" fillId="10" borderId="7" xfId="0" applyNumberFormat="1" applyFont="1" applyFill="1" applyBorder="1" applyAlignment="1" applyProtection="1">
      <alignment horizontal="center" vertical="center"/>
      <protection hidden="1"/>
    </xf>
    <xf numFmtId="2" fontId="32" fillId="10" borderId="7" xfId="0" applyNumberFormat="1" applyFont="1" applyFill="1" applyBorder="1" applyAlignment="1" applyProtection="1">
      <alignment horizontal="center" vertical="center" wrapText="1"/>
      <protection hidden="1"/>
    </xf>
    <xf numFmtId="0" fontId="32" fillId="10" borderId="3" xfId="0" applyFont="1" applyFill="1" applyBorder="1" applyAlignment="1" applyProtection="1">
      <alignment horizontal="left" vertical="center"/>
      <protection hidden="1"/>
    </xf>
    <xf numFmtId="2" fontId="32" fillId="10" borderId="3" xfId="6" applyNumberFormat="1" applyFont="1" applyFill="1" applyBorder="1" applyAlignment="1" applyProtection="1">
      <alignment horizontal="center" vertical="center" wrapText="1"/>
      <protection hidden="1"/>
    </xf>
    <xf numFmtId="9" fontId="32" fillId="9" borderId="0" xfId="6" applyFont="1" applyFill="1" applyBorder="1" applyAlignment="1" applyProtection="1">
      <alignment horizontal="right" vertical="center"/>
      <protection hidden="1"/>
    </xf>
    <xf numFmtId="0" fontId="32" fillId="10" borderId="5" xfId="0" applyFont="1" applyFill="1" applyBorder="1" applyProtection="1">
      <protection hidden="1"/>
    </xf>
    <xf numFmtId="0" fontId="32" fillId="10" borderId="9" xfId="0" applyFont="1" applyFill="1" applyBorder="1" applyAlignment="1" applyProtection="1">
      <protection hidden="1"/>
    </xf>
    <xf numFmtId="1" fontId="32" fillId="10" borderId="3" xfId="6" applyNumberFormat="1" applyFont="1" applyFill="1" applyBorder="1" applyAlignment="1" applyProtection="1">
      <alignment horizontal="center" vertical="center" wrapText="1"/>
      <protection hidden="1"/>
    </xf>
    <xf numFmtId="2" fontId="33" fillId="10" borderId="3" xfId="0" applyNumberFormat="1" applyFont="1" applyFill="1" applyBorder="1" applyAlignment="1" applyProtection="1">
      <alignment horizontal="center" vertical="center"/>
      <protection hidden="1"/>
    </xf>
    <xf numFmtId="10" fontId="33" fillId="10" borderId="3" xfId="6" applyNumberFormat="1" applyFont="1" applyFill="1" applyBorder="1" applyAlignment="1" applyProtection="1">
      <alignment horizontal="center" vertical="center"/>
      <protection hidden="1"/>
    </xf>
    <xf numFmtId="0" fontId="33" fillId="10" borderId="3" xfId="0" applyFont="1" applyFill="1" applyBorder="1" applyAlignment="1" applyProtection="1">
      <alignment horizontal="center" vertical="center"/>
      <protection hidden="1"/>
    </xf>
    <xf numFmtId="0" fontId="20" fillId="13" borderId="3" xfId="0" applyFont="1" applyFill="1" applyBorder="1"/>
    <xf numFmtId="0" fontId="18" fillId="13" borderId="5" xfId="0" applyFont="1" applyFill="1" applyBorder="1" applyAlignment="1">
      <alignment wrapText="1"/>
    </xf>
    <xf numFmtId="0" fontId="20" fillId="13" borderId="5" xfId="0" applyFont="1" applyFill="1" applyBorder="1" applyAlignment="1">
      <alignment horizontal="left"/>
    </xf>
    <xf numFmtId="0" fontId="20" fillId="13" borderId="9" xfId="0" applyFont="1" applyFill="1" applyBorder="1" applyAlignment="1">
      <alignment horizontal="center" wrapText="1"/>
    </xf>
    <xf numFmtId="0" fontId="20" fillId="13" borderId="10" xfId="0" applyFont="1" applyFill="1" applyBorder="1" applyAlignment="1">
      <alignment horizontal="center" wrapText="1"/>
    </xf>
    <xf numFmtId="2" fontId="20" fillId="13" borderId="5" xfId="0" applyNumberFormat="1" applyFont="1" applyFill="1" applyBorder="1" applyAlignment="1">
      <alignment horizontal="left"/>
    </xf>
    <xf numFmtId="2" fontId="20" fillId="13" borderId="9" xfId="0" applyNumberFormat="1" applyFont="1" applyFill="1" applyBorder="1" applyAlignment="1">
      <alignment horizontal="left"/>
    </xf>
    <xf numFmtId="2" fontId="18" fillId="13" borderId="9" xfId="0" applyNumberFormat="1" applyFont="1" applyFill="1" applyBorder="1" applyAlignment="1">
      <alignment horizontal="left"/>
    </xf>
    <xf numFmtId="2" fontId="18" fillId="13" borderId="10" xfId="0" applyNumberFormat="1" applyFont="1" applyFill="1" applyBorder="1" applyAlignment="1">
      <alignment horizontal="left"/>
    </xf>
    <xf numFmtId="0" fontId="20" fillId="13" borderId="11" xfId="0" applyFont="1" applyFill="1" applyBorder="1" applyAlignment="1">
      <alignment wrapText="1"/>
    </xf>
    <xf numFmtId="0" fontId="20" fillId="13" borderId="11" xfId="0" applyFont="1" applyFill="1" applyBorder="1" applyAlignment="1">
      <alignment horizontal="center" wrapText="1"/>
    </xf>
    <xf numFmtId="0" fontId="20" fillId="13" borderId="6" xfId="0" applyFont="1" applyFill="1" applyBorder="1" applyAlignment="1">
      <alignment horizontal="center" wrapText="1"/>
    </xf>
    <xf numFmtId="9" fontId="20" fillId="13" borderId="11" xfId="6" applyFont="1" applyFill="1" applyBorder="1" applyAlignment="1">
      <alignment horizontal="center" wrapText="1"/>
    </xf>
    <xf numFmtId="2" fontId="20" fillId="13" borderId="6" xfId="0" applyNumberFormat="1" applyFont="1" applyFill="1" applyBorder="1" applyAlignment="1">
      <alignment horizontal="center" wrapText="1"/>
    </xf>
    <xf numFmtId="165" fontId="20" fillId="13" borderId="6" xfId="0" applyNumberFormat="1" applyFont="1" applyFill="1" applyBorder="1" applyAlignment="1">
      <alignment horizontal="center" wrapText="1"/>
    </xf>
    <xf numFmtId="2" fontId="20" fillId="13" borderId="12" xfId="0" applyNumberFormat="1" applyFont="1" applyFill="1" applyBorder="1" applyAlignment="1">
      <alignment horizontal="center" wrapText="1"/>
    </xf>
    <xf numFmtId="0" fontId="20" fillId="13" borderId="5" xfId="0" applyFont="1" applyFill="1" applyBorder="1" applyAlignment="1">
      <alignment vertical="center"/>
    </xf>
    <xf numFmtId="0" fontId="18" fillId="13" borderId="9" xfId="0" applyFont="1" applyFill="1" applyBorder="1"/>
    <xf numFmtId="0" fontId="18" fillId="13" borderId="10" xfId="0" applyFont="1" applyFill="1" applyBorder="1"/>
    <xf numFmtId="0" fontId="20" fillId="13" borderId="3" xfId="0" applyFont="1" applyFill="1" applyBorder="1" applyAlignment="1">
      <alignment wrapText="1"/>
    </xf>
    <xf numFmtId="0" fontId="20" fillId="13" borderId="3" xfId="0" applyFont="1" applyFill="1" applyBorder="1" applyAlignment="1">
      <alignment horizontal="center" wrapText="1"/>
    </xf>
    <xf numFmtId="0" fontId="18" fillId="13" borderId="3" xfId="0" applyFont="1" applyFill="1" applyBorder="1"/>
    <xf numFmtId="0" fontId="20" fillId="14" borderId="3" xfId="0" applyFont="1" applyFill="1" applyBorder="1" applyAlignment="1">
      <alignment horizontal="left" vertical="center" wrapText="1"/>
    </xf>
    <xf numFmtId="0" fontId="7" fillId="14" borderId="3" xfId="0" applyFont="1" applyFill="1" applyBorder="1" applyAlignment="1">
      <alignment horizontal="left" vertical="center" wrapText="1"/>
    </xf>
    <xf numFmtId="0" fontId="7" fillId="14" borderId="3" xfId="0" applyFont="1" applyFill="1" applyBorder="1" applyAlignment="1">
      <alignment horizontal="center" vertical="center"/>
    </xf>
    <xf numFmtId="9" fontId="7" fillId="14" borderId="3" xfId="6" applyFont="1" applyFill="1" applyBorder="1" applyAlignment="1">
      <alignment horizontal="center" vertical="center"/>
    </xf>
    <xf numFmtId="2" fontId="7" fillId="14" borderId="3" xfId="0" applyNumberFormat="1" applyFont="1" applyFill="1" applyBorder="1" applyAlignment="1">
      <alignment horizontal="center" vertical="center"/>
    </xf>
    <xf numFmtId="165" fontId="7" fillId="14" borderId="3" xfId="0" applyNumberFormat="1" applyFont="1" applyFill="1" applyBorder="1" applyAlignment="1">
      <alignment horizontal="center" vertical="center"/>
    </xf>
    <xf numFmtId="0" fontId="7" fillId="8" borderId="3" xfId="0" applyFont="1" applyFill="1" applyBorder="1" applyAlignment="1">
      <alignment horizontal="center" vertical="center"/>
    </xf>
    <xf numFmtId="9" fontId="7" fillId="8" borderId="3" xfId="6" applyFont="1" applyFill="1" applyBorder="1" applyAlignment="1">
      <alignment horizontal="center" vertical="center"/>
    </xf>
    <xf numFmtId="2" fontId="7" fillId="8" borderId="3" xfId="0" applyNumberFormat="1" applyFont="1" applyFill="1" applyBorder="1" applyAlignment="1">
      <alignment horizontal="center" vertical="center"/>
    </xf>
    <xf numFmtId="2" fontId="7" fillId="4" borderId="3" xfId="0" applyNumberFormat="1" applyFont="1" applyFill="1" applyBorder="1" applyAlignment="1">
      <alignment horizontal="center" vertical="center"/>
    </xf>
    <xf numFmtId="165" fontId="7" fillId="8" borderId="3" xfId="0" applyNumberFormat="1" applyFont="1" applyFill="1" applyBorder="1" applyAlignment="1">
      <alignment horizontal="center" vertical="center"/>
    </xf>
    <xf numFmtId="166" fontId="7" fillId="4" borderId="3" xfId="0" applyNumberFormat="1" applyFont="1" applyFill="1" applyBorder="1" applyAlignment="1">
      <alignment horizontal="center" vertical="center"/>
    </xf>
    <xf numFmtId="165" fontId="7" fillId="4" borderId="3" xfId="0" applyNumberFormat="1" applyFont="1" applyFill="1" applyBorder="1" applyAlignment="1">
      <alignment horizontal="center" vertical="center"/>
    </xf>
    <xf numFmtId="0" fontId="7" fillId="15" borderId="3" xfId="0" applyFont="1" applyFill="1" applyBorder="1" applyAlignment="1">
      <alignment horizontal="center" vertical="center"/>
    </xf>
    <xf numFmtId="9" fontId="7" fillId="15" borderId="3" xfId="6" applyFont="1" applyFill="1" applyBorder="1" applyAlignment="1">
      <alignment horizontal="center" vertical="center"/>
    </xf>
    <xf numFmtId="2" fontId="7" fillId="15" borderId="3" xfId="0" applyNumberFormat="1" applyFont="1" applyFill="1" applyBorder="1" applyAlignment="1">
      <alignment horizontal="center" vertical="center"/>
    </xf>
    <xf numFmtId="0" fontId="7" fillId="15" borderId="0" xfId="0" applyFont="1" applyFill="1"/>
    <xf numFmtId="0" fontId="5" fillId="4" borderId="0" xfId="0" applyFont="1" applyFill="1" applyAlignment="1" applyProtection="1">
      <alignment horizontal="center"/>
      <protection hidden="1"/>
    </xf>
    <xf numFmtId="0" fontId="0" fillId="4" borderId="3" xfId="0" applyFill="1" applyBorder="1" applyProtection="1">
      <protection hidden="1"/>
    </xf>
    <xf numFmtId="0" fontId="0" fillId="10" borderId="3" xfId="0" applyFill="1" applyBorder="1" applyProtection="1">
      <protection hidden="1"/>
    </xf>
    <xf numFmtId="0" fontId="0" fillId="16" borderId="3" xfId="0" applyFill="1" applyBorder="1" applyProtection="1">
      <protection hidden="1"/>
    </xf>
    <xf numFmtId="0" fontId="34" fillId="10" borderId="5" xfId="0" applyFont="1" applyFill="1" applyBorder="1" applyProtection="1">
      <protection hidden="1"/>
    </xf>
    <xf numFmtId="0" fontId="41" fillId="16" borderId="3" xfId="0" applyFont="1" applyFill="1" applyBorder="1" applyAlignment="1" applyProtection="1">
      <alignment horizontal="center" vertical="center"/>
      <protection hidden="1"/>
    </xf>
    <xf numFmtId="2" fontId="32" fillId="4" borderId="5" xfId="0" applyNumberFormat="1" applyFont="1" applyFill="1" applyBorder="1" applyAlignment="1" applyProtection="1">
      <alignment horizontal="center" vertical="center"/>
      <protection hidden="1"/>
    </xf>
    <xf numFmtId="2" fontId="32" fillId="9" borderId="5" xfId="0" applyNumberFormat="1" applyFont="1" applyFill="1" applyBorder="1" applyAlignment="1" applyProtection="1">
      <alignment horizontal="center" vertical="center"/>
      <protection hidden="1"/>
    </xf>
    <xf numFmtId="0" fontId="32" fillId="4" borderId="3" xfId="0" applyFont="1" applyFill="1" applyBorder="1" applyAlignment="1" applyProtection="1">
      <alignment horizontal="center" vertical="center"/>
      <protection locked="0"/>
    </xf>
    <xf numFmtId="0" fontId="41" fillId="16" borderId="3" xfId="0" applyFont="1" applyFill="1" applyBorder="1" applyAlignment="1" applyProtection="1">
      <alignment horizontal="center" vertical="center"/>
      <protection locked="0"/>
    </xf>
    <xf numFmtId="0" fontId="32" fillId="4" borderId="3" xfId="0" applyFont="1" applyFill="1" applyBorder="1" applyAlignment="1" applyProtection="1">
      <alignment horizontal="left" vertical="center"/>
      <protection locked="0"/>
    </xf>
    <xf numFmtId="2" fontId="32" fillId="4" borderId="3" xfId="0" applyNumberFormat="1" applyFont="1" applyFill="1" applyBorder="1" applyAlignment="1" applyProtection="1">
      <alignment horizontal="center" vertical="center"/>
      <protection locked="0"/>
    </xf>
    <xf numFmtId="2" fontId="32" fillId="4" borderId="3" xfId="0" applyNumberFormat="1" applyFont="1" applyFill="1" applyBorder="1" applyAlignment="1" applyProtection="1">
      <alignment horizontal="center" vertical="center" wrapText="1"/>
      <protection locked="0"/>
    </xf>
    <xf numFmtId="2" fontId="32" fillId="4" borderId="7" xfId="0" applyNumberFormat="1" applyFont="1" applyFill="1" applyBorder="1" applyAlignment="1" applyProtection="1">
      <alignment horizontal="center" vertical="center"/>
      <protection locked="0"/>
    </xf>
    <xf numFmtId="2" fontId="32" fillId="4" borderId="5" xfId="0" applyNumberFormat="1" applyFont="1" applyFill="1" applyBorder="1" applyAlignment="1" applyProtection="1">
      <alignment horizontal="center" vertical="center"/>
      <protection locked="0"/>
    </xf>
    <xf numFmtId="0" fontId="32" fillId="4" borderId="3" xfId="0" applyFont="1" applyFill="1" applyBorder="1" applyAlignment="1" applyProtection="1">
      <alignment horizontal="center" vertical="center" wrapText="1"/>
      <protection locked="0"/>
    </xf>
    <xf numFmtId="9" fontId="32" fillId="4" borderId="3" xfId="6" applyFont="1" applyFill="1" applyBorder="1" applyAlignment="1" applyProtection="1">
      <alignment horizontal="center" vertical="center"/>
      <protection locked="0"/>
    </xf>
    <xf numFmtId="9" fontId="32" fillId="4" borderId="5" xfId="6" applyFont="1" applyFill="1" applyBorder="1" applyAlignment="1" applyProtection="1">
      <alignment horizontal="center" vertical="center"/>
      <protection locked="0"/>
    </xf>
    <xf numFmtId="9" fontId="32" fillId="4" borderId="3" xfId="0" applyNumberFormat="1" applyFont="1" applyFill="1" applyBorder="1" applyAlignment="1" applyProtection="1">
      <alignment horizontal="center" vertical="center"/>
      <protection locked="0"/>
    </xf>
    <xf numFmtId="0" fontId="32" fillId="4" borderId="10" xfId="0" applyFont="1" applyFill="1" applyBorder="1" applyAlignment="1" applyProtection="1">
      <alignment horizontal="center" vertical="center" wrapText="1"/>
      <protection locked="0"/>
    </xf>
    <xf numFmtId="0" fontId="32" fillId="9" borderId="3" xfId="0" applyFont="1" applyFill="1" applyBorder="1" applyAlignment="1" applyProtection="1">
      <alignment horizontal="center" vertical="center"/>
      <protection locked="0"/>
    </xf>
    <xf numFmtId="9" fontId="32" fillId="9" borderId="3" xfId="6" applyFont="1" applyFill="1" applyBorder="1" applyAlignment="1" applyProtection="1">
      <alignment horizontal="center" vertical="center"/>
      <protection locked="0"/>
    </xf>
    <xf numFmtId="0" fontId="32" fillId="9" borderId="3" xfId="0" applyFont="1" applyFill="1" applyBorder="1" applyAlignment="1" applyProtection="1">
      <alignment horizontal="center" vertical="center" wrapText="1"/>
      <protection locked="0"/>
    </xf>
    <xf numFmtId="9" fontId="32" fillId="9" borderId="3" xfId="0" applyNumberFormat="1" applyFont="1" applyFill="1" applyBorder="1" applyAlignment="1" applyProtection="1">
      <alignment horizontal="center" vertical="center" wrapText="1"/>
      <protection locked="0"/>
    </xf>
    <xf numFmtId="10" fontId="32" fillId="4" borderId="3" xfId="6" applyNumberFormat="1" applyFont="1" applyFill="1" applyBorder="1" applyAlignment="1" applyProtection="1">
      <alignment horizontal="center" vertical="center"/>
      <protection locked="0"/>
    </xf>
    <xf numFmtId="0" fontId="32" fillId="10" borderId="3" xfId="0" applyFont="1" applyFill="1" applyBorder="1" applyAlignment="1" applyProtection="1">
      <alignment horizontal="left" vertical="center" wrapText="1"/>
      <protection hidden="1"/>
    </xf>
    <xf numFmtId="0" fontId="32" fillId="10" borderId="3" xfId="0" applyFont="1" applyFill="1" applyBorder="1" applyAlignment="1" applyProtection="1">
      <alignment horizontal="left" vertical="center" wrapText="1"/>
      <protection hidden="1"/>
    </xf>
    <xf numFmtId="0" fontId="32" fillId="10" borderId="13" xfId="0" applyFont="1" applyFill="1" applyBorder="1" applyAlignment="1" applyProtection="1">
      <alignment vertical="center"/>
      <protection hidden="1"/>
    </xf>
    <xf numFmtId="0" fontId="32" fillId="10" borderId="14" xfId="0" applyFont="1" applyFill="1" applyBorder="1" applyProtection="1">
      <protection hidden="1"/>
    </xf>
    <xf numFmtId="2" fontId="32" fillId="10" borderId="10" xfId="0" applyNumberFormat="1" applyFont="1" applyFill="1" applyBorder="1" applyAlignment="1" applyProtection="1">
      <alignment horizontal="center" vertical="center"/>
      <protection hidden="1"/>
    </xf>
    <xf numFmtId="2" fontId="32" fillId="10" borderId="5" xfId="0" applyNumberFormat="1" applyFont="1" applyFill="1" applyBorder="1" applyAlignment="1" applyProtection="1">
      <alignment horizontal="left" vertical="center"/>
      <protection hidden="1"/>
    </xf>
    <xf numFmtId="2" fontId="32" fillId="10" borderId="10" xfId="0" applyNumberFormat="1" applyFont="1" applyFill="1" applyBorder="1" applyAlignment="1" applyProtection="1">
      <alignment horizontal="left" vertical="center"/>
      <protection hidden="1"/>
    </xf>
    <xf numFmtId="2" fontId="32" fillId="9" borderId="3" xfId="0" applyNumberFormat="1" applyFont="1" applyFill="1" applyBorder="1" applyAlignment="1" applyProtection="1">
      <alignment horizontal="center" vertical="center"/>
      <protection hidden="1"/>
    </xf>
    <xf numFmtId="9" fontId="32" fillId="9" borderId="10" xfId="6" applyFont="1" applyFill="1" applyBorder="1" applyAlignment="1" applyProtection="1">
      <alignment horizontal="center"/>
      <protection hidden="1"/>
    </xf>
    <xf numFmtId="9" fontId="32" fillId="9" borderId="5" xfId="6" applyFont="1" applyFill="1" applyBorder="1" applyAlignment="1" applyProtection="1">
      <alignment horizontal="center" vertical="center"/>
      <protection hidden="1"/>
    </xf>
    <xf numFmtId="0" fontId="37" fillId="9" borderId="0" xfId="0" applyFont="1" applyFill="1" applyBorder="1" applyAlignment="1" applyProtection="1">
      <alignment horizontal="right"/>
      <protection hidden="1"/>
    </xf>
    <xf numFmtId="0" fontId="37" fillId="9" borderId="0" xfId="0" applyFont="1" applyFill="1" applyBorder="1" applyAlignment="1" applyProtection="1">
      <alignment horizontal="center"/>
      <protection hidden="1"/>
    </xf>
    <xf numFmtId="0" fontId="37" fillId="9" borderId="0" xfId="0" applyFont="1" applyFill="1" applyBorder="1" applyAlignment="1" applyProtection="1">
      <alignment horizontal="left"/>
      <protection hidden="1"/>
    </xf>
    <xf numFmtId="0" fontId="42" fillId="16" borderId="3" xfId="0" applyFont="1" applyFill="1" applyBorder="1" applyAlignment="1" applyProtection="1">
      <alignment horizontal="center" vertical="center"/>
      <protection hidden="1"/>
    </xf>
    <xf numFmtId="0" fontId="32" fillId="10" borderId="9" xfId="0" applyFont="1" applyFill="1" applyBorder="1" applyProtection="1">
      <protection hidden="1"/>
    </xf>
    <xf numFmtId="0" fontId="42" fillId="16" borderId="3" xfId="0" applyFont="1" applyFill="1" applyBorder="1" applyAlignment="1" applyProtection="1">
      <alignment horizontal="center" vertical="center"/>
      <protection locked="0"/>
    </xf>
    <xf numFmtId="0" fontId="43" fillId="9" borderId="15" xfId="0" applyFont="1" applyFill="1" applyBorder="1" applyAlignment="1" applyProtection="1">
      <alignment horizontal="left" vertical="center" wrapText="1"/>
      <protection hidden="1"/>
    </xf>
    <xf numFmtId="0" fontId="43" fillId="9" borderId="15" xfId="0" applyFont="1" applyFill="1" applyBorder="1" applyAlignment="1" applyProtection="1">
      <alignment horizontal="right" vertical="center"/>
      <protection hidden="1"/>
    </xf>
    <xf numFmtId="0" fontId="43" fillId="9" borderId="15" xfId="0" applyFont="1" applyFill="1" applyBorder="1" applyAlignment="1" applyProtection="1">
      <alignment horizontal="center" vertical="center"/>
      <protection locked="0"/>
    </xf>
    <xf numFmtId="0" fontId="32" fillId="17" borderId="0" xfId="5" applyFont="1" applyFill="1" applyBorder="1" applyAlignment="1" applyProtection="1">
      <alignment horizontal="left"/>
      <protection hidden="1"/>
    </xf>
    <xf numFmtId="9" fontId="32" fillId="9" borderId="0" xfId="6" applyFont="1" applyFill="1" applyAlignment="1" applyProtection="1">
      <alignment horizontal="center"/>
      <protection hidden="1"/>
    </xf>
    <xf numFmtId="0" fontId="32" fillId="9" borderId="0" xfId="0" applyFont="1" applyFill="1" applyAlignment="1" applyProtection="1">
      <alignment horizontal="right"/>
      <protection hidden="1"/>
    </xf>
    <xf numFmtId="9" fontId="36" fillId="9" borderId="0" xfId="6" applyFont="1" applyFill="1" applyProtection="1">
      <protection hidden="1"/>
    </xf>
    <xf numFmtId="0" fontId="32" fillId="17" borderId="0" xfId="5" applyFont="1" applyFill="1" applyBorder="1" applyAlignment="1" applyProtection="1">
      <alignment horizontal="right"/>
      <protection hidden="1"/>
    </xf>
    <xf numFmtId="2" fontId="7" fillId="0" borderId="3" xfId="0" applyNumberFormat="1" applyFont="1" applyBorder="1" applyAlignment="1">
      <alignment horizontal="center" vertical="top"/>
    </xf>
    <xf numFmtId="2" fontId="7" fillId="0" borderId="0" xfId="0" applyNumberFormat="1" applyFont="1" applyFill="1" applyAlignment="1">
      <alignment horizontal="center" vertical="top"/>
    </xf>
    <xf numFmtId="0" fontId="20" fillId="0" borderId="3" xfId="0" applyFont="1" applyBorder="1" applyAlignment="1">
      <alignment horizontal="left" vertical="top"/>
    </xf>
    <xf numFmtId="2" fontId="7" fillId="0" borderId="3" xfId="0" applyNumberFormat="1" applyFont="1" applyFill="1" applyBorder="1" applyAlignment="1">
      <alignment horizontal="center" vertical="top" wrapText="1"/>
    </xf>
    <xf numFmtId="0" fontId="7" fillId="0" borderId="0" xfId="0" applyFont="1" applyAlignment="1">
      <alignment vertical="top"/>
    </xf>
    <xf numFmtId="0" fontId="21" fillId="0" borderId="0" xfId="0" applyFont="1" applyAlignment="1">
      <alignment vertical="top" wrapText="1"/>
    </xf>
    <xf numFmtId="2" fontId="7" fillId="0" borderId="3" xfId="0" applyNumberFormat="1" applyFont="1" applyFill="1" applyBorder="1" applyAlignment="1">
      <alignment horizontal="center" vertical="top"/>
    </xf>
    <xf numFmtId="0" fontId="21" fillId="0" borderId="0" xfId="0" applyFont="1" applyAlignment="1">
      <alignment vertical="top"/>
    </xf>
    <xf numFmtId="0" fontId="7" fillId="0" borderId="0" xfId="0" applyFont="1" applyAlignment="1">
      <alignment vertical="top" wrapText="1"/>
    </xf>
    <xf numFmtId="0" fontId="21" fillId="0" borderId="0" xfId="5" applyFont="1" applyFill="1" applyBorder="1" applyAlignment="1">
      <alignment horizontal="left" vertical="top"/>
    </xf>
    <xf numFmtId="0" fontId="0" fillId="0" borderId="0" xfId="0" applyAlignment="1">
      <alignment vertical="top"/>
    </xf>
    <xf numFmtId="2" fontId="7" fillId="0" borderId="0" xfId="0" applyNumberFormat="1" applyFont="1" applyFill="1" applyBorder="1" applyAlignment="1">
      <alignment horizontal="center" vertical="top"/>
    </xf>
    <xf numFmtId="0" fontId="15" fillId="0" borderId="0" xfId="0" applyFont="1" applyAlignment="1">
      <alignment vertical="top" wrapText="1"/>
    </xf>
    <xf numFmtId="0" fontId="5" fillId="0" borderId="0" xfId="0" applyFont="1" applyAlignment="1">
      <alignment vertical="top"/>
    </xf>
    <xf numFmtId="1" fontId="5" fillId="0" borderId="0" xfId="0" applyNumberFormat="1" applyFont="1" applyFill="1" applyAlignment="1">
      <alignment horizontal="center" vertical="top"/>
    </xf>
    <xf numFmtId="0" fontId="7" fillId="14" borderId="3" xfId="0" applyFont="1" applyFill="1" applyBorder="1" applyAlignment="1">
      <alignment horizontal="center" vertical="center" wrapText="1"/>
    </xf>
    <xf numFmtId="168" fontId="5" fillId="0" borderId="0" xfId="6" applyNumberFormat="1"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0" fontId="37" fillId="9" borderId="0" xfId="0" applyFont="1" applyFill="1" applyBorder="1" applyProtection="1">
      <protection hidden="1"/>
    </xf>
    <xf numFmtId="2" fontId="32" fillId="4" borderId="0" xfId="0" applyNumberFormat="1" applyFont="1" applyFill="1" applyBorder="1" applyAlignment="1" applyProtection="1">
      <alignment horizontal="center" vertical="top"/>
      <protection hidden="1"/>
    </xf>
    <xf numFmtId="0" fontId="37" fillId="9" borderId="0" xfId="0" applyFont="1" applyFill="1" applyBorder="1" applyAlignment="1" applyProtection="1">
      <alignment vertical="center"/>
      <protection hidden="1"/>
    </xf>
    <xf numFmtId="0" fontId="32" fillId="11" borderId="5" xfId="0" applyFont="1" applyFill="1" applyBorder="1" applyAlignment="1" applyProtection="1">
      <alignment horizontal="left" vertical="center" wrapText="1"/>
      <protection hidden="1"/>
    </xf>
    <xf numFmtId="0" fontId="32" fillId="11" borderId="3" xfId="0" applyFont="1" applyFill="1" applyBorder="1" applyAlignment="1" applyProtection="1">
      <alignment horizontal="left" wrapText="1"/>
      <protection hidden="1"/>
    </xf>
    <xf numFmtId="0" fontId="32" fillId="11" borderId="5" xfId="0" applyFont="1" applyFill="1" applyBorder="1" applyAlignment="1" applyProtection="1">
      <alignment horizontal="left" vertical="center"/>
      <protection hidden="1"/>
    </xf>
    <xf numFmtId="0" fontId="32" fillId="11" borderId="9" xfId="0" applyFont="1" applyFill="1" applyBorder="1" applyAlignment="1" applyProtection="1">
      <alignment horizontal="left" vertical="center"/>
      <protection hidden="1"/>
    </xf>
    <xf numFmtId="0" fontId="32" fillId="11" borderId="10" xfId="0" applyFont="1" applyFill="1" applyBorder="1" applyAlignment="1" applyProtection="1">
      <alignment horizontal="left" vertical="center"/>
      <protection hidden="1"/>
    </xf>
    <xf numFmtId="0" fontId="32" fillId="11" borderId="11" xfId="0" applyFont="1" applyFill="1" applyBorder="1" applyAlignment="1" applyProtection="1">
      <alignment horizontal="center" wrapText="1"/>
      <protection hidden="1"/>
    </xf>
    <xf numFmtId="2" fontId="32" fillId="10" borderId="8" xfId="0" applyNumberFormat="1" applyFont="1" applyFill="1" applyBorder="1" applyAlignment="1" applyProtection="1">
      <alignment vertical="center"/>
      <protection hidden="1"/>
    </xf>
    <xf numFmtId="2" fontId="32" fillId="10" borderId="8" xfId="0" applyNumberFormat="1" applyFont="1" applyFill="1" applyBorder="1" applyAlignment="1" applyProtection="1">
      <alignment horizontal="center" vertical="center"/>
      <protection hidden="1"/>
    </xf>
    <xf numFmtId="0" fontId="32" fillId="11" borderId="11" xfId="0" applyFont="1" applyFill="1" applyBorder="1" applyAlignment="1" applyProtection="1">
      <alignment horizontal="left" wrapText="1"/>
      <protection hidden="1"/>
    </xf>
    <xf numFmtId="0" fontId="32" fillId="9" borderId="0" xfId="0" applyFont="1" applyFill="1" applyBorder="1" applyAlignment="1" applyProtection="1">
      <alignment horizontal="right"/>
      <protection hidden="1"/>
    </xf>
    <xf numFmtId="2" fontId="32" fillId="9" borderId="0" xfId="0" applyNumberFormat="1" applyFont="1" applyFill="1" applyBorder="1" applyAlignment="1" applyProtection="1">
      <alignment horizontal="center" vertical="center"/>
      <protection hidden="1"/>
    </xf>
    <xf numFmtId="0" fontId="32" fillId="11" borderId="9" xfId="0" applyFont="1" applyFill="1" applyBorder="1" applyAlignment="1" applyProtection="1">
      <alignment horizontal="left"/>
      <protection hidden="1"/>
    </xf>
    <xf numFmtId="0" fontId="32" fillId="11" borderId="10" xfId="0" applyFont="1" applyFill="1" applyBorder="1" applyAlignment="1" applyProtection="1">
      <alignment horizontal="left"/>
      <protection hidden="1"/>
    </xf>
    <xf numFmtId="0" fontId="32" fillId="11" borderId="5" xfId="0" applyFont="1" applyFill="1" applyBorder="1" applyAlignment="1" applyProtection="1">
      <alignment horizontal="center" vertical="center"/>
      <protection hidden="1"/>
    </xf>
    <xf numFmtId="0" fontId="32" fillId="11" borderId="9" xfId="0" applyFont="1" applyFill="1" applyBorder="1" applyAlignment="1" applyProtection="1">
      <alignment horizontal="center" wrapText="1"/>
      <protection hidden="1"/>
    </xf>
    <xf numFmtId="0" fontId="20" fillId="0" borderId="3" xfId="0" applyFont="1" applyBorder="1" applyAlignment="1">
      <alignment horizontal="left" vertical="center" wrapText="1"/>
    </xf>
    <xf numFmtId="0" fontId="7" fillId="0" borderId="3" xfId="0" applyFont="1" applyBorder="1" applyAlignment="1">
      <alignment horizontal="left" vertical="center"/>
    </xf>
    <xf numFmtId="0" fontId="32" fillId="10" borderId="3" xfId="0" applyFont="1" applyFill="1" applyBorder="1" applyAlignment="1" applyProtection="1">
      <protection hidden="1"/>
    </xf>
    <xf numFmtId="0" fontId="32" fillId="10" borderId="3" xfId="0" applyFont="1" applyFill="1" applyBorder="1" applyAlignment="1" applyProtection="1">
      <alignment horizontal="center"/>
      <protection hidden="1"/>
    </xf>
    <xf numFmtId="0" fontId="32" fillId="10" borderId="3" xfId="0" applyFont="1" applyFill="1" applyBorder="1" applyAlignment="1" applyProtection="1">
      <alignment horizontal="left"/>
      <protection hidden="1"/>
    </xf>
    <xf numFmtId="0" fontId="32" fillId="10" borderId="3" xfId="0" quotePrefix="1" applyFont="1" applyFill="1" applyBorder="1" applyAlignment="1" applyProtection="1">
      <alignment horizontal="center" vertical="center"/>
      <protection hidden="1"/>
    </xf>
    <xf numFmtId="2" fontId="32" fillId="10" borderId="3" xfId="0" quotePrefix="1" applyNumberFormat="1" applyFont="1" applyFill="1" applyBorder="1" applyAlignment="1" applyProtection="1">
      <alignment horizontal="center" vertical="center"/>
      <protection hidden="1"/>
    </xf>
    <xf numFmtId="0" fontId="44" fillId="4" borderId="3" xfId="0" applyFont="1" applyFill="1" applyBorder="1" applyAlignment="1" applyProtection="1">
      <alignment horizontal="center" vertical="center"/>
      <protection hidden="1"/>
    </xf>
    <xf numFmtId="0" fontId="45" fillId="9" borderId="0" xfId="0" applyFont="1" applyFill="1" applyBorder="1" applyAlignment="1" applyProtection="1">
      <alignment horizontal="right" vertical="center"/>
      <protection hidden="1"/>
    </xf>
    <xf numFmtId="0" fontId="32" fillId="4" borderId="0" xfId="0" applyFont="1" applyFill="1" applyAlignment="1" applyProtection="1">
      <alignment vertical="center"/>
      <protection hidden="1"/>
    </xf>
    <xf numFmtId="0" fontId="32" fillId="10" borderId="3" xfId="0" applyFont="1" applyFill="1" applyBorder="1" applyAlignment="1" applyProtection="1">
      <alignment horizontal="left" vertical="center" wrapText="1"/>
      <protection hidden="1"/>
    </xf>
    <xf numFmtId="166" fontId="7" fillId="4" borderId="3" xfId="0" applyNumberFormat="1" applyFont="1" applyFill="1" applyBorder="1" applyAlignment="1">
      <alignment horizontal="center" vertical="center" wrapText="1"/>
    </xf>
    <xf numFmtId="166" fontId="32" fillId="10" borderId="5" xfId="0" applyNumberFormat="1" applyFont="1" applyFill="1" applyBorder="1" applyAlignment="1" applyProtection="1">
      <alignment horizontal="center" vertical="center"/>
      <protection hidden="1"/>
    </xf>
    <xf numFmtId="166" fontId="32" fillId="10" borderId="7" xfId="0" applyNumberFormat="1" applyFont="1" applyFill="1" applyBorder="1" applyAlignment="1" applyProtection="1">
      <alignment horizontal="center" vertical="center"/>
      <protection hidden="1"/>
    </xf>
    <xf numFmtId="0" fontId="32" fillId="9" borderId="3" xfId="0" applyFont="1" applyFill="1" applyBorder="1" applyAlignment="1" applyProtection="1">
      <alignment horizontal="left" vertical="center" wrapText="1"/>
      <protection locked="0"/>
    </xf>
    <xf numFmtId="2" fontId="7" fillId="4" borderId="3" xfId="0" applyNumberFormat="1" applyFont="1" applyFill="1" applyBorder="1" applyAlignment="1">
      <alignment horizontal="center" vertical="center" wrapText="1"/>
    </xf>
    <xf numFmtId="0" fontId="32" fillId="10" borderId="3" xfId="0" applyFont="1" applyFill="1" applyBorder="1" applyAlignment="1" applyProtection="1">
      <alignment horizontal="left" vertical="center" wrapText="1"/>
      <protection hidden="1"/>
    </xf>
    <xf numFmtId="0" fontId="46" fillId="9" borderId="12" xfId="0" applyFont="1" applyFill="1" applyBorder="1" applyAlignment="1" applyProtection="1">
      <alignment vertical="top" wrapText="1"/>
      <protection hidden="1"/>
    </xf>
    <xf numFmtId="0" fontId="47" fillId="0" borderId="1" xfId="5" applyFont="1" applyFill="1" applyBorder="1" applyAlignment="1">
      <alignment horizontal="center" vertical="center" wrapText="1"/>
    </xf>
    <xf numFmtId="1" fontId="32" fillId="10" borderId="3" xfId="0" applyNumberFormat="1" applyFont="1" applyFill="1" applyBorder="1" applyAlignment="1" applyProtection="1">
      <alignment horizontal="center" vertical="center" wrapText="1"/>
      <protection hidden="1"/>
    </xf>
    <xf numFmtId="0" fontId="32" fillId="10" borderId="3" xfId="0" applyFont="1" applyFill="1" applyBorder="1" applyAlignment="1" applyProtection="1">
      <alignment horizontal="center" vertical="top" wrapText="1"/>
      <protection hidden="1"/>
    </xf>
    <xf numFmtId="0" fontId="32" fillId="10" borderId="3" xfId="0" applyFont="1" applyFill="1" applyBorder="1" applyProtection="1">
      <protection hidden="1"/>
    </xf>
    <xf numFmtId="1" fontId="7" fillId="0" borderId="0" xfId="0" applyNumberFormat="1" applyFont="1" applyFill="1" applyAlignment="1">
      <alignment horizontal="center"/>
    </xf>
    <xf numFmtId="0" fontId="7" fillId="0" borderId="0" xfId="0" applyFont="1" applyBorder="1" applyAlignment="1">
      <alignment horizontal="left" vertical="center" wrapText="1"/>
    </xf>
    <xf numFmtId="0" fontId="7" fillId="0" borderId="0" xfId="0" applyFont="1" applyAlignment="1">
      <alignment horizontal="center"/>
    </xf>
    <xf numFmtId="0" fontId="7" fillId="0" borderId="0" xfId="0" applyFont="1" applyAlignment="1">
      <alignment wrapText="1"/>
    </xf>
    <xf numFmtId="0" fontId="21" fillId="0" borderId="1" xfId="5" applyFont="1" applyFill="1" applyBorder="1" applyAlignment="1">
      <alignment horizontal="left"/>
    </xf>
    <xf numFmtId="165" fontId="23" fillId="6" borderId="3" xfId="5" applyNumberFormat="1" applyFont="1" applyFill="1" applyBorder="1" applyAlignment="1">
      <alignment horizontal="center" vertical="center" wrapText="1"/>
    </xf>
    <xf numFmtId="0" fontId="7" fillId="0" borderId="0" xfId="0" applyFont="1" applyFill="1"/>
    <xf numFmtId="0" fontId="7" fillId="0" borderId="0" xfId="0" applyFont="1" applyFill="1" applyAlignment="1"/>
    <xf numFmtId="0" fontId="21" fillId="0" borderId="0" xfId="0" applyFont="1" applyFill="1"/>
    <xf numFmtId="0" fontId="23" fillId="6" borderId="3" xfId="5" applyFont="1" applyFill="1" applyBorder="1" applyAlignment="1">
      <alignment horizontal="left" vertical="top" wrapText="1"/>
    </xf>
    <xf numFmtId="1" fontId="7" fillId="14" borderId="3" xfId="0" applyNumberFormat="1" applyFont="1" applyFill="1" applyBorder="1" applyAlignment="1">
      <alignment horizontal="center" vertical="center"/>
    </xf>
    <xf numFmtId="0" fontId="7" fillId="4" borderId="3" xfId="0" applyFont="1" applyFill="1" applyBorder="1" applyAlignment="1">
      <alignment horizontal="left" vertical="top" wrapText="1"/>
    </xf>
    <xf numFmtId="0" fontId="11" fillId="0" borderId="0" xfId="4" applyFont="1" applyAlignment="1">
      <alignment horizontal="left"/>
    </xf>
    <xf numFmtId="0" fontId="5" fillId="0" borderId="0" xfId="4"/>
    <xf numFmtId="0" fontId="5" fillId="0" borderId="0" xfId="4" applyAlignment="1">
      <alignment horizontal="left"/>
    </xf>
    <xf numFmtId="0" fontId="5" fillId="0" borderId="0" xfId="4" applyAlignment="1">
      <alignment horizontal="center"/>
    </xf>
    <xf numFmtId="0" fontId="5" fillId="0" borderId="0" xfId="0" applyFont="1" applyAlignment="1">
      <alignment horizontal="center" vertical="center"/>
    </xf>
    <xf numFmtId="0" fontId="5" fillId="0" borderId="0" xfId="0" applyFont="1" applyAlignment="1">
      <alignment horizontal="left" vertical="center"/>
    </xf>
    <xf numFmtId="1" fontId="0" fillId="0" borderId="0" xfId="6" applyNumberFormat="1" applyFont="1" applyAlignment="1">
      <alignment horizontal="center" vertical="center"/>
    </xf>
    <xf numFmtId="164" fontId="32" fillId="4" borderId="0" xfId="0" applyNumberFormat="1" applyFont="1" applyFill="1" applyProtection="1">
      <protection hidden="1"/>
    </xf>
    <xf numFmtId="167" fontId="32" fillId="4" borderId="0" xfId="0" applyNumberFormat="1" applyFont="1" applyFill="1" applyProtection="1">
      <protection hidden="1"/>
    </xf>
    <xf numFmtId="0" fontId="32" fillId="4" borderId="0" xfId="0" applyFont="1" applyFill="1" applyAlignment="1" applyProtection="1">
      <alignment vertical="top" wrapText="1"/>
      <protection hidden="1"/>
    </xf>
    <xf numFmtId="164" fontId="32" fillId="9" borderId="0" xfId="6" applyNumberFormat="1" applyFont="1" applyFill="1" applyAlignment="1" applyProtection="1">
      <alignment horizontal="center"/>
      <protection hidden="1"/>
    </xf>
    <xf numFmtId="0" fontId="46" fillId="4" borderId="0" xfId="0" applyFont="1" applyFill="1" applyAlignment="1" applyProtection="1">
      <alignment horizontal="left" vertical="center"/>
      <protection hidden="1"/>
    </xf>
    <xf numFmtId="0" fontId="7" fillId="14" borderId="10" xfId="0" applyFont="1" applyFill="1" applyBorder="1" applyAlignment="1">
      <alignment horizontal="left" vertical="center" wrapText="1"/>
    </xf>
    <xf numFmtId="0" fontId="7" fillId="14" borderId="6" xfId="0" applyFont="1" applyFill="1" applyBorder="1" applyAlignment="1">
      <alignment horizontal="right" vertical="center" wrapText="1"/>
    </xf>
    <xf numFmtId="0" fontId="7" fillId="14" borderId="7" xfId="0" applyFont="1" applyFill="1" applyBorder="1" applyAlignment="1">
      <alignment horizontal="right" vertical="center" wrapText="1"/>
    </xf>
    <xf numFmtId="0" fontId="7" fillId="0" borderId="11" xfId="0" applyFont="1" applyBorder="1" applyAlignment="1">
      <alignment horizontal="left" vertical="top" wrapText="1"/>
    </xf>
    <xf numFmtId="0" fontId="23" fillId="6" borderId="7" xfId="5" applyFont="1" applyFill="1" applyBorder="1" applyAlignment="1">
      <alignment horizontal="left" vertical="top" wrapText="1"/>
    </xf>
    <xf numFmtId="0" fontId="20" fillId="14" borderId="11" xfId="0" applyFont="1" applyFill="1" applyBorder="1" applyAlignment="1">
      <alignment horizontal="left" vertical="top" wrapText="1"/>
    </xf>
    <xf numFmtId="0" fontId="7" fillId="14" borderId="6" xfId="0" applyFont="1" applyFill="1" applyBorder="1" applyAlignment="1">
      <alignment horizontal="right" vertical="top" wrapText="1"/>
    </xf>
    <xf numFmtId="0" fontId="7" fillId="14" borderId="7" xfId="0" applyFont="1" applyFill="1" applyBorder="1" applyAlignment="1">
      <alignment horizontal="right" vertical="top" wrapText="1"/>
    </xf>
    <xf numFmtId="0" fontId="20" fillId="14" borderId="6" xfId="0" applyFont="1" applyFill="1" applyBorder="1" applyAlignment="1">
      <alignment horizontal="left" vertical="top" wrapText="1"/>
    </xf>
    <xf numFmtId="2" fontId="47" fillId="0" borderId="0" xfId="0" applyNumberFormat="1" applyFont="1" applyAlignment="1">
      <alignment horizontal="center" vertical="center"/>
    </xf>
    <xf numFmtId="0" fontId="0" fillId="9" borderId="0" xfId="0" applyFill="1"/>
    <xf numFmtId="2" fontId="7" fillId="14" borderId="3" xfId="6" applyNumberFormat="1" applyFont="1" applyFill="1" applyBorder="1" applyAlignment="1">
      <alignment horizontal="center" vertical="center" wrapText="1"/>
    </xf>
    <xf numFmtId="10" fontId="7" fillId="14" borderId="3" xfId="6" applyNumberFormat="1" applyFont="1" applyFill="1" applyBorder="1" applyAlignment="1">
      <alignment horizontal="center" vertical="center" wrapText="1"/>
    </xf>
    <xf numFmtId="2" fontId="7" fillId="14" borderId="3" xfId="0" applyNumberFormat="1" applyFont="1" applyFill="1" applyBorder="1" applyAlignment="1">
      <alignment horizontal="center" vertical="center" wrapText="1"/>
    </xf>
    <xf numFmtId="9" fontId="7" fillId="14" borderId="3" xfId="6" applyFont="1" applyFill="1" applyBorder="1" applyAlignment="1">
      <alignment horizontal="center" vertical="center" wrapText="1"/>
    </xf>
    <xf numFmtId="165" fontId="7" fillId="14" borderId="3" xfId="0" applyNumberFormat="1" applyFont="1" applyFill="1" applyBorder="1" applyAlignment="1">
      <alignment horizontal="center" vertical="center" wrapText="1"/>
    </xf>
    <xf numFmtId="1" fontId="7" fillId="0" borderId="0" xfId="0" applyNumberFormat="1" applyFont="1" applyFill="1" applyAlignment="1">
      <alignment horizontal="center" wrapText="1"/>
    </xf>
    <xf numFmtId="0" fontId="7" fillId="0" borderId="0" xfId="0" applyFont="1" applyAlignment="1">
      <alignment horizontal="center" wrapText="1"/>
    </xf>
    <xf numFmtId="0" fontId="21" fillId="0" borderId="1" xfId="5" applyFont="1" applyFill="1" applyBorder="1" applyAlignment="1">
      <alignment horizontal="left" wrapText="1"/>
    </xf>
    <xf numFmtId="168" fontId="7" fillId="14" borderId="3" xfId="6" applyNumberFormat="1" applyFont="1" applyFill="1" applyBorder="1" applyAlignment="1">
      <alignment horizontal="center" vertical="center" wrapText="1"/>
    </xf>
    <xf numFmtId="166" fontId="7" fillId="14" borderId="3" xfId="0" applyNumberFormat="1" applyFont="1" applyFill="1" applyBorder="1" applyAlignment="1">
      <alignment horizontal="center" vertical="center" wrapText="1"/>
    </xf>
    <xf numFmtId="0" fontId="37" fillId="4" borderId="0" xfId="0" applyFont="1" applyFill="1" applyBorder="1" applyProtection="1">
      <protection hidden="1"/>
    </xf>
    <xf numFmtId="0" fontId="48" fillId="10" borderId="3" xfId="0" applyFont="1" applyFill="1" applyBorder="1" applyAlignment="1" applyProtection="1">
      <alignment horizontal="center" wrapText="1"/>
      <protection hidden="1"/>
    </xf>
    <xf numFmtId="0" fontId="28" fillId="9" borderId="0" xfId="0" applyFont="1" applyFill="1" applyBorder="1" applyAlignment="1" applyProtection="1">
      <alignment horizontal="right" vertical="center" wrapText="1"/>
      <protection hidden="1"/>
    </xf>
    <xf numFmtId="0" fontId="32" fillId="9" borderId="0" xfId="0" applyFont="1" applyFill="1" applyAlignment="1" applyProtection="1">
      <alignment vertical="top" wrapText="1"/>
      <protection hidden="1"/>
    </xf>
    <xf numFmtId="0" fontId="32" fillId="4" borderId="0" xfId="0" applyFont="1" applyFill="1" applyAlignment="1" applyProtection="1">
      <alignment horizontal="left" vertical="top"/>
      <protection hidden="1"/>
    </xf>
    <xf numFmtId="0" fontId="27" fillId="9" borderId="0" xfId="2" applyFill="1" applyProtection="1">
      <protection hidden="1"/>
    </xf>
    <xf numFmtId="0" fontId="27" fillId="9" borderId="0" xfId="2" applyFill="1" applyAlignment="1" applyProtection="1">
      <alignment horizontal="center"/>
      <protection hidden="1"/>
    </xf>
    <xf numFmtId="0" fontId="27" fillId="9" borderId="0" xfId="2" applyFill="1" applyAlignment="1" applyProtection="1">
      <alignment horizontal="center" wrapText="1"/>
      <protection hidden="1"/>
    </xf>
    <xf numFmtId="0" fontId="49" fillId="9" borderId="0" xfId="2" applyFont="1" applyFill="1" applyAlignment="1" applyProtection="1">
      <alignment horizontal="right" vertical="center"/>
      <protection hidden="1"/>
    </xf>
    <xf numFmtId="0" fontId="49" fillId="9" borderId="0" xfId="2" applyFont="1" applyFill="1" applyAlignment="1" applyProtection="1">
      <alignment horizontal="left" vertical="center"/>
      <protection hidden="1"/>
    </xf>
    <xf numFmtId="0" fontId="30" fillId="9" borderId="0" xfId="2" applyFont="1" applyFill="1" applyAlignment="1" applyProtection="1">
      <alignment horizontal="center"/>
      <protection hidden="1"/>
    </xf>
    <xf numFmtId="9" fontId="27" fillId="9" borderId="0" xfId="6" applyFont="1" applyFill="1" applyAlignment="1" applyProtection="1">
      <alignment horizontal="center"/>
      <protection hidden="1"/>
    </xf>
    <xf numFmtId="0" fontId="50" fillId="9" borderId="0" xfId="2" applyFont="1" applyFill="1" applyAlignment="1" applyProtection="1">
      <alignment horizontal="center"/>
      <protection hidden="1"/>
    </xf>
    <xf numFmtId="0" fontId="50" fillId="9" borderId="0" xfId="2" applyFont="1" applyFill="1" applyBorder="1" applyAlignment="1" applyProtection="1">
      <alignment horizontal="right" vertical="center"/>
      <protection hidden="1"/>
    </xf>
    <xf numFmtId="0" fontId="50" fillId="9" borderId="0" xfId="2" applyFont="1" applyFill="1" applyBorder="1" applyAlignment="1" applyProtection="1">
      <alignment horizontal="center" vertical="center"/>
      <protection hidden="1"/>
    </xf>
    <xf numFmtId="0" fontId="50" fillId="9" borderId="0" xfId="2" applyFont="1" applyFill="1" applyProtection="1">
      <protection hidden="1"/>
    </xf>
    <xf numFmtId="0" fontId="30" fillId="9" borderId="0" xfId="2" applyFont="1" applyFill="1" applyAlignment="1" applyProtection="1">
      <alignment horizontal="left"/>
      <protection hidden="1"/>
    </xf>
    <xf numFmtId="2" fontId="27" fillId="10" borderId="3" xfId="2" applyNumberFormat="1" applyFill="1" applyBorder="1" applyAlignment="1" applyProtection="1">
      <alignment horizontal="center"/>
      <protection hidden="1"/>
    </xf>
    <xf numFmtId="0" fontId="27" fillId="9" borderId="0" xfId="2" applyFont="1" applyFill="1" applyAlignment="1" applyProtection="1">
      <alignment horizontal="center"/>
      <protection hidden="1"/>
    </xf>
    <xf numFmtId="0" fontId="27" fillId="9" borderId="0" xfId="2" applyFont="1" applyFill="1" applyProtection="1">
      <protection hidden="1"/>
    </xf>
    <xf numFmtId="2" fontId="27" fillId="9" borderId="0" xfId="2" applyNumberFormat="1" applyFill="1" applyProtection="1">
      <protection hidden="1"/>
    </xf>
    <xf numFmtId="0" fontId="27" fillId="9" borderId="0" xfId="2" applyFill="1" applyAlignment="1" applyProtection="1">
      <protection hidden="1"/>
    </xf>
    <xf numFmtId="0" fontId="27" fillId="9" borderId="0" xfId="2" applyFont="1" applyFill="1" applyAlignment="1" applyProtection="1">
      <protection hidden="1"/>
    </xf>
    <xf numFmtId="0" fontId="51" fillId="9" borderId="0" xfId="2" applyFont="1" applyFill="1" applyAlignment="1" applyProtection="1">
      <alignment horizontal="center" vertical="top"/>
      <protection hidden="1"/>
    </xf>
    <xf numFmtId="0" fontId="27" fillId="10" borderId="3" xfId="2" applyFill="1" applyBorder="1" applyAlignment="1" applyProtection="1">
      <alignment horizontal="center"/>
      <protection hidden="1"/>
    </xf>
    <xf numFmtId="4" fontId="27" fillId="10" borderId="3" xfId="2" applyNumberFormat="1" applyFill="1" applyBorder="1" applyAlignment="1" applyProtection="1">
      <alignment horizontal="center"/>
      <protection hidden="1"/>
    </xf>
    <xf numFmtId="0" fontId="27" fillId="9" borderId="0" xfId="2" applyFont="1" applyFill="1" applyBorder="1" applyAlignment="1" applyProtection="1">
      <alignment horizontal="center"/>
      <protection hidden="1"/>
    </xf>
    <xf numFmtId="0" fontId="27" fillId="9" borderId="0" xfId="2" applyFill="1" applyBorder="1" applyAlignment="1" applyProtection="1">
      <alignment horizontal="center"/>
      <protection hidden="1"/>
    </xf>
    <xf numFmtId="10" fontId="27" fillId="10" borderId="3" xfId="2" applyNumberFormat="1" applyFill="1" applyBorder="1" applyAlignment="1" applyProtection="1">
      <alignment horizontal="center"/>
      <protection hidden="1"/>
    </xf>
    <xf numFmtId="2" fontId="27" fillId="10" borderId="3" xfId="2" applyNumberFormat="1" applyFill="1" applyBorder="1" applyAlignment="1" applyProtection="1">
      <alignment horizontal="center" vertical="center"/>
      <protection hidden="1"/>
    </xf>
    <xf numFmtId="0" fontId="52" fillId="9" borderId="0" xfId="2" applyFont="1" applyFill="1" applyAlignment="1" applyProtection="1">
      <alignment horizontal="left"/>
      <protection hidden="1"/>
    </xf>
    <xf numFmtId="2" fontId="27" fillId="9" borderId="0" xfId="2" applyNumberFormat="1" applyFill="1" applyAlignment="1" applyProtection="1">
      <alignment horizontal="center"/>
      <protection hidden="1"/>
    </xf>
    <xf numFmtId="0" fontId="27" fillId="0" borderId="0" xfId="2" applyAlignment="1" applyProtection="1">
      <alignment horizontal="center"/>
      <protection hidden="1"/>
    </xf>
    <xf numFmtId="0" fontId="27" fillId="9" borderId="0" xfId="2" applyFill="1" applyBorder="1" applyProtection="1">
      <protection hidden="1"/>
    </xf>
    <xf numFmtId="0" fontId="27" fillId="9" borderId="0" xfId="2" applyFill="1" applyBorder="1" applyAlignment="1" applyProtection="1">
      <alignment horizontal="right" vertical="center"/>
      <protection hidden="1"/>
    </xf>
    <xf numFmtId="0" fontId="27" fillId="9" borderId="0" xfId="2" applyFill="1" applyAlignment="1" applyProtection="1">
      <alignment horizontal="right" vertical="center"/>
      <protection hidden="1"/>
    </xf>
    <xf numFmtId="0" fontId="52" fillId="9" borderId="0" xfId="2" applyFont="1" applyFill="1" applyAlignment="1" applyProtection="1">
      <alignment horizontal="left" vertical="center"/>
      <protection hidden="1"/>
    </xf>
    <xf numFmtId="10" fontId="27" fillId="9" borderId="0" xfId="2" applyNumberFormat="1" applyFill="1" applyBorder="1" applyAlignment="1" applyProtection="1">
      <alignment horizontal="center"/>
      <protection hidden="1"/>
    </xf>
    <xf numFmtId="0" fontId="27" fillId="10" borderId="3" xfId="2" applyFont="1" applyFill="1" applyBorder="1" applyAlignment="1" applyProtection="1">
      <alignment horizontal="center"/>
      <protection hidden="1"/>
    </xf>
    <xf numFmtId="0" fontId="52" fillId="9" borderId="0" xfId="2" applyFont="1" applyFill="1" applyProtection="1">
      <protection hidden="1"/>
    </xf>
    <xf numFmtId="0" fontId="27" fillId="9" borderId="0" xfId="2" applyFill="1" applyAlignment="1" applyProtection="1">
      <alignment vertical="center"/>
      <protection hidden="1"/>
    </xf>
    <xf numFmtId="0" fontId="27" fillId="10" borderId="3" xfId="2" applyFont="1" applyFill="1" applyBorder="1" applyAlignment="1" applyProtection="1">
      <alignment horizontal="center" vertical="center"/>
      <protection hidden="1"/>
    </xf>
    <xf numFmtId="0" fontId="30" fillId="9" borderId="0" xfId="2" applyFont="1" applyFill="1" applyProtection="1">
      <protection hidden="1"/>
    </xf>
    <xf numFmtId="0" fontId="29" fillId="10" borderId="3" xfId="2" applyFont="1" applyFill="1" applyBorder="1" applyAlignment="1" applyProtection="1">
      <alignment horizontal="left"/>
      <protection hidden="1"/>
    </xf>
    <xf numFmtId="0" fontId="27" fillId="10" borderId="3" xfId="2" applyFill="1" applyBorder="1" applyAlignment="1" applyProtection="1">
      <alignment horizontal="center" wrapText="1"/>
      <protection hidden="1"/>
    </xf>
    <xf numFmtId="0" fontId="27" fillId="10" borderId="3" xfId="2" applyFill="1" applyBorder="1" applyProtection="1">
      <protection hidden="1"/>
    </xf>
    <xf numFmtId="10" fontId="27" fillId="10" borderId="3" xfId="6" applyNumberFormat="1" applyFont="1" applyFill="1" applyBorder="1" applyAlignment="1" applyProtection="1">
      <alignment horizontal="center"/>
      <protection hidden="1"/>
    </xf>
    <xf numFmtId="9" fontId="27" fillId="10" borderId="3" xfId="2" applyNumberFormat="1" applyFill="1" applyBorder="1" applyAlignment="1" applyProtection="1">
      <alignment horizontal="center"/>
      <protection hidden="1"/>
    </xf>
    <xf numFmtId="2" fontId="27" fillId="10" borderId="3" xfId="6" applyNumberFormat="1" applyFont="1" applyFill="1" applyBorder="1" applyAlignment="1" applyProtection="1">
      <alignment horizontal="center"/>
      <protection hidden="1"/>
    </xf>
    <xf numFmtId="10" fontId="27" fillId="10" borderId="3" xfId="8" applyNumberFormat="1" applyFont="1" applyFill="1" applyBorder="1" applyAlignment="1" applyProtection="1">
      <alignment horizontal="center"/>
      <protection hidden="1"/>
    </xf>
    <xf numFmtId="0" fontId="27" fillId="10" borderId="0" xfId="2" applyFill="1" applyAlignment="1" applyProtection="1">
      <alignment horizontal="center"/>
      <protection hidden="1"/>
    </xf>
    <xf numFmtId="0" fontId="27" fillId="10" borderId="0" xfId="2" applyFill="1" applyProtection="1">
      <protection hidden="1"/>
    </xf>
    <xf numFmtId="2" fontId="27" fillId="10" borderId="3" xfId="2" applyNumberFormat="1" applyFill="1" applyBorder="1" applyAlignment="1" applyProtection="1">
      <alignment horizontal="center" vertical="center" wrapText="1"/>
      <protection hidden="1"/>
    </xf>
    <xf numFmtId="0" fontId="27" fillId="10" borderId="3" xfId="2" applyFill="1" applyBorder="1" applyAlignment="1" applyProtection="1">
      <alignment horizontal="center" vertical="center"/>
      <protection hidden="1"/>
    </xf>
    <xf numFmtId="10" fontId="27" fillId="10" borderId="3" xfId="6" applyNumberFormat="1" applyFont="1" applyFill="1" applyBorder="1" applyAlignment="1" applyProtection="1">
      <alignment horizontal="center" vertical="center"/>
      <protection hidden="1"/>
    </xf>
    <xf numFmtId="2" fontId="48" fillId="10" borderId="3" xfId="2" applyNumberFormat="1" applyFont="1" applyFill="1" applyBorder="1" applyAlignment="1" applyProtection="1">
      <alignment horizontal="center" wrapText="1"/>
      <protection hidden="1"/>
    </xf>
    <xf numFmtId="2" fontId="48" fillId="10" borderId="3" xfId="2" applyNumberFormat="1" applyFont="1" applyFill="1" applyBorder="1" applyAlignment="1" applyProtection="1">
      <alignment horizontal="center" vertical="center"/>
      <protection hidden="1"/>
    </xf>
    <xf numFmtId="2" fontId="48" fillId="10" borderId="10" xfId="2" applyNumberFormat="1" applyFont="1" applyFill="1" applyBorder="1" applyAlignment="1" applyProtection="1">
      <alignment horizontal="center"/>
      <protection hidden="1"/>
    </xf>
    <xf numFmtId="0" fontId="27" fillId="10" borderId="3" xfId="2" applyFill="1" applyBorder="1" applyAlignment="1" applyProtection="1">
      <alignment wrapText="1"/>
      <protection hidden="1"/>
    </xf>
    <xf numFmtId="2" fontId="27" fillId="9" borderId="0" xfId="6" applyNumberFormat="1" applyFont="1" applyFill="1" applyAlignment="1" applyProtection="1">
      <alignment horizontal="center"/>
      <protection hidden="1"/>
    </xf>
    <xf numFmtId="2" fontId="27" fillId="9" borderId="0" xfId="2" applyNumberFormat="1" applyFill="1" applyAlignment="1" applyProtection="1">
      <alignment horizontal="center" wrapText="1"/>
      <protection hidden="1"/>
    </xf>
    <xf numFmtId="164" fontId="27" fillId="9" borderId="0" xfId="2" applyNumberFormat="1" applyFill="1" applyAlignment="1" applyProtection="1">
      <alignment horizontal="center"/>
      <protection hidden="1"/>
    </xf>
    <xf numFmtId="0" fontId="27" fillId="9" borderId="0" xfId="2" applyFill="1" applyAlignment="1" applyProtection="1">
      <alignment horizontal="right"/>
      <protection hidden="1"/>
    </xf>
    <xf numFmtId="0" fontId="27" fillId="10" borderId="3" xfId="2" applyFill="1" applyBorder="1" applyAlignment="1" applyProtection="1">
      <alignment horizontal="right"/>
      <protection hidden="1"/>
    </xf>
    <xf numFmtId="0" fontId="27" fillId="10" borderId="5" xfId="2" applyFill="1" applyBorder="1" applyAlignment="1" applyProtection="1">
      <alignment horizontal="center"/>
      <protection hidden="1"/>
    </xf>
    <xf numFmtId="0" fontId="27" fillId="10" borderId="9" xfId="2" applyFill="1" applyBorder="1" applyAlignment="1" applyProtection="1">
      <protection hidden="1"/>
    </xf>
    <xf numFmtId="0" fontId="27" fillId="10" borderId="10" xfId="2" applyFill="1" applyBorder="1" applyAlignment="1" applyProtection="1">
      <protection hidden="1"/>
    </xf>
    <xf numFmtId="0" fontId="27" fillId="0" borderId="0" xfId="2" applyProtection="1">
      <protection hidden="1"/>
    </xf>
    <xf numFmtId="0" fontId="27" fillId="9" borderId="0" xfId="2" applyFill="1" applyAlignment="1" applyProtection="1">
      <alignment horizontal="left"/>
      <protection hidden="1"/>
    </xf>
    <xf numFmtId="0" fontId="48" fillId="9" borderId="3" xfId="0" applyFont="1" applyFill="1" applyBorder="1" applyAlignment="1" applyProtection="1">
      <alignment horizontal="center" wrapText="1"/>
      <protection locked="0" hidden="1"/>
    </xf>
    <xf numFmtId="0" fontId="48" fillId="9" borderId="3" xfId="0" applyFont="1" applyFill="1" applyBorder="1" applyAlignment="1" applyProtection="1">
      <alignment horizontal="center" vertical="center" wrapText="1"/>
      <protection locked="0" hidden="1"/>
    </xf>
    <xf numFmtId="0" fontId="27" fillId="9" borderId="3" xfId="2" applyFill="1" applyBorder="1" applyAlignment="1" applyProtection="1">
      <alignment horizontal="center"/>
      <protection locked="0" hidden="1"/>
    </xf>
    <xf numFmtId="10" fontId="27" fillId="9" borderId="7" xfId="6" applyNumberFormat="1" applyFont="1" applyFill="1" applyBorder="1" applyAlignment="1" applyProtection="1">
      <alignment horizontal="center" vertical="center"/>
      <protection locked="0" hidden="1"/>
    </xf>
    <xf numFmtId="0" fontId="32" fillId="4" borderId="0" xfId="0" applyFont="1" applyFill="1" applyProtection="1">
      <protection locked="0"/>
    </xf>
    <xf numFmtId="0" fontId="5" fillId="9" borderId="0" xfId="0" applyFont="1" applyFill="1" applyAlignment="1" applyProtection="1">
      <alignment vertical="top" wrapText="1"/>
      <protection locked="0"/>
    </xf>
    <xf numFmtId="0" fontId="0" fillId="9" borderId="0" xfId="0" applyFill="1" applyAlignment="1" applyProtection="1">
      <alignment vertical="top" wrapText="1"/>
      <protection locked="0"/>
    </xf>
    <xf numFmtId="0" fontId="0" fillId="9" borderId="0" xfId="0" applyFill="1" applyAlignment="1" applyProtection="1">
      <alignment vertical="top"/>
      <protection locked="0"/>
    </xf>
    <xf numFmtId="0" fontId="32" fillId="9" borderId="0" xfId="3" applyFont="1" applyFill="1"/>
    <xf numFmtId="0" fontId="53" fillId="9" borderId="0" xfId="3" applyFont="1" applyFill="1" applyAlignment="1" applyProtection="1">
      <alignment horizontal="left" vertical="center"/>
      <protection hidden="1"/>
    </xf>
    <xf numFmtId="0" fontId="53" fillId="9" borderId="0" xfId="3" applyFont="1" applyFill="1" applyAlignment="1" applyProtection="1">
      <alignment horizontal="left" vertical="center" wrapText="1"/>
      <protection hidden="1"/>
    </xf>
    <xf numFmtId="0" fontId="48" fillId="9" borderId="0" xfId="3" applyFont="1" applyFill="1" applyAlignment="1">
      <alignment horizontal="center"/>
    </xf>
    <xf numFmtId="0" fontId="48" fillId="9" borderId="0" xfId="3" applyFont="1" applyFill="1"/>
    <xf numFmtId="2" fontId="48" fillId="9" borderId="3" xfId="3" applyNumberFormat="1" applyFont="1" applyFill="1" applyBorder="1" applyAlignment="1">
      <alignment horizontal="center" vertical="center"/>
    </xf>
    <xf numFmtId="14" fontId="48" fillId="9" borderId="3" xfId="3" applyNumberFormat="1" applyFont="1" applyFill="1" applyBorder="1" applyAlignment="1">
      <alignment horizontal="center" vertical="center"/>
    </xf>
    <xf numFmtId="2" fontId="48" fillId="9" borderId="0" xfId="3" applyNumberFormat="1" applyFont="1" applyFill="1" applyBorder="1" applyAlignment="1">
      <alignment horizontal="center" vertical="center"/>
    </xf>
    <xf numFmtId="14" fontId="48" fillId="9" borderId="0" xfId="3" applyNumberFormat="1" applyFont="1" applyFill="1" applyBorder="1" applyAlignment="1">
      <alignment horizontal="center" vertical="center"/>
    </xf>
    <xf numFmtId="0" fontId="48" fillId="9" borderId="0" xfId="3" applyFont="1" applyFill="1" applyBorder="1" applyAlignment="1">
      <alignment horizontal="left" vertical="top" wrapText="1"/>
    </xf>
    <xf numFmtId="0" fontId="32" fillId="4" borderId="0" xfId="3" applyFont="1" applyFill="1"/>
    <xf numFmtId="0" fontId="48" fillId="9" borderId="0" xfId="3" applyFont="1" applyFill="1" applyBorder="1" applyAlignment="1">
      <alignment horizontal="left" vertical="top" wrapText="1"/>
    </xf>
    <xf numFmtId="0" fontId="46" fillId="9" borderId="0" xfId="0" applyFont="1" applyFill="1" applyAlignment="1" applyProtection="1">
      <alignment horizontal="left" vertical="center"/>
      <protection hidden="1"/>
    </xf>
    <xf numFmtId="0" fontId="32" fillId="9" borderId="0" xfId="0" applyFont="1" applyFill="1" applyAlignment="1" applyProtection="1">
      <alignment horizontal="right" vertical="center"/>
      <protection hidden="1"/>
    </xf>
    <xf numFmtId="0" fontId="32" fillId="9" borderId="3" xfId="0" applyFont="1" applyFill="1" applyBorder="1" applyAlignment="1" applyProtection="1">
      <alignment horizontal="center"/>
      <protection hidden="1"/>
    </xf>
    <xf numFmtId="0" fontId="32" fillId="9" borderId="3" xfId="0" applyFont="1" applyFill="1" applyBorder="1" applyAlignment="1" applyProtection="1">
      <alignment horizontal="center"/>
      <protection locked="0"/>
    </xf>
    <xf numFmtId="0" fontId="46" fillId="9" borderId="0" xfId="0" applyFont="1" applyFill="1" applyAlignment="1" applyProtection="1">
      <alignment vertical="top" wrapText="1"/>
      <protection hidden="1"/>
    </xf>
    <xf numFmtId="0" fontId="32" fillId="9" borderId="0" xfId="0" applyFont="1" applyFill="1" applyAlignment="1" applyProtection="1">
      <alignment horizontal="center"/>
      <protection hidden="1"/>
    </xf>
    <xf numFmtId="0" fontId="32" fillId="9" borderId="3" xfId="0" applyFont="1" applyFill="1" applyBorder="1" applyProtection="1">
      <protection hidden="1"/>
    </xf>
    <xf numFmtId="0" fontId="32" fillId="9" borderId="0" xfId="0" applyFont="1" applyFill="1" applyAlignment="1" applyProtection="1">
      <alignment vertical="center"/>
      <protection hidden="1"/>
    </xf>
    <xf numFmtId="0" fontId="32" fillId="4" borderId="0" xfId="0" applyFont="1" applyFill="1" applyAlignment="1" applyProtection="1">
      <alignment horizontal="left" vertical="top" wrapText="1"/>
      <protection hidden="1"/>
    </xf>
    <xf numFmtId="0" fontId="32" fillId="10" borderId="3" xfId="0" applyFont="1" applyFill="1" applyBorder="1" applyAlignment="1" applyProtection="1">
      <alignment horizontal="left" vertical="center" wrapText="1"/>
      <protection hidden="1"/>
    </xf>
    <xf numFmtId="0" fontId="46" fillId="9" borderId="0" xfId="0" applyFont="1" applyFill="1" applyBorder="1" applyAlignment="1" applyProtection="1">
      <alignment vertical="top" wrapText="1"/>
      <protection hidden="1"/>
    </xf>
    <xf numFmtId="0" fontId="54" fillId="18" borderId="0" xfId="0" applyFont="1" applyFill="1" applyBorder="1" applyAlignment="1" applyProtection="1">
      <alignment vertical="center"/>
      <protection hidden="1"/>
    </xf>
    <xf numFmtId="2" fontId="32" fillId="10" borderId="9" xfId="0" applyNumberFormat="1" applyFont="1" applyFill="1" applyBorder="1" applyAlignment="1" applyProtection="1">
      <alignment vertical="center"/>
      <protection hidden="1"/>
    </xf>
    <xf numFmtId="0" fontId="5" fillId="4" borderId="0" xfId="0" applyFont="1" applyFill="1" applyProtection="1">
      <protection hidden="1"/>
    </xf>
    <xf numFmtId="0" fontId="5" fillId="4" borderId="0" xfId="0" applyFont="1" applyFill="1" applyBorder="1" applyProtection="1">
      <protection hidden="1"/>
    </xf>
    <xf numFmtId="0" fontId="6" fillId="9" borderId="0" xfId="0" applyFont="1" applyFill="1" applyBorder="1" applyAlignment="1" applyProtection="1">
      <alignment vertical="center"/>
      <protection hidden="1"/>
    </xf>
    <xf numFmtId="0" fontId="32" fillId="9" borderId="0" xfId="0" applyFont="1" applyFill="1" applyBorder="1" applyAlignment="1" applyProtection="1">
      <alignment horizontal="left"/>
      <protection hidden="1"/>
    </xf>
    <xf numFmtId="0" fontId="5" fillId="9" borderId="0" xfId="0" applyFont="1" applyFill="1" applyBorder="1" applyAlignment="1" applyProtection="1">
      <alignment vertical="top" wrapText="1"/>
      <protection hidden="1"/>
    </xf>
    <xf numFmtId="0" fontId="5" fillId="9" borderId="0" xfId="0" applyFont="1" applyFill="1" applyAlignment="1" applyProtection="1">
      <alignment vertical="center" wrapText="1"/>
      <protection hidden="1"/>
    </xf>
    <xf numFmtId="0" fontId="5" fillId="9" borderId="0" xfId="0" applyFont="1" applyFill="1" applyAlignment="1" applyProtection="1">
      <alignment vertical="top"/>
      <protection hidden="1"/>
    </xf>
    <xf numFmtId="0" fontId="32" fillId="9" borderId="0" xfId="0" applyFont="1" applyFill="1" applyBorder="1" applyAlignment="1" applyProtection="1">
      <alignment horizontal="left" vertical="top" wrapText="1"/>
      <protection hidden="1"/>
    </xf>
    <xf numFmtId="0" fontId="32" fillId="9" borderId="12" xfId="0" applyFont="1" applyFill="1" applyBorder="1" applyAlignment="1" applyProtection="1">
      <alignment vertical="top" wrapText="1"/>
      <protection hidden="1"/>
    </xf>
    <xf numFmtId="0" fontId="55" fillId="18" borderId="0" xfId="0" applyFont="1" applyFill="1" applyBorder="1" applyAlignment="1" applyProtection="1">
      <alignment vertical="center"/>
      <protection hidden="1"/>
    </xf>
    <xf numFmtId="0" fontId="43" fillId="18" borderId="3" xfId="0" applyFont="1" applyFill="1" applyBorder="1" applyAlignment="1" applyProtection="1">
      <alignment horizontal="left"/>
      <protection hidden="1"/>
    </xf>
    <xf numFmtId="0" fontId="43" fillId="18" borderId="3" xfId="0" applyFont="1" applyFill="1" applyBorder="1" applyAlignment="1" applyProtection="1">
      <alignment horizontal="center"/>
      <protection hidden="1"/>
    </xf>
    <xf numFmtId="0" fontId="43" fillId="18" borderId="5" xfId="0" applyFont="1" applyFill="1" applyBorder="1" applyAlignment="1" applyProtection="1">
      <alignment horizontal="left"/>
      <protection hidden="1"/>
    </xf>
    <xf numFmtId="0" fontId="43" fillId="18" borderId="10" xfId="0" applyFont="1" applyFill="1" applyBorder="1" applyAlignment="1" applyProtection="1">
      <alignment horizontal="center"/>
      <protection hidden="1"/>
    </xf>
    <xf numFmtId="0" fontId="43" fillId="18" borderId="10" xfId="0" applyFont="1" applyFill="1" applyBorder="1" applyAlignment="1" applyProtection="1">
      <alignment horizontal="left"/>
      <protection hidden="1"/>
    </xf>
    <xf numFmtId="0" fontId="43" fillId="18" borderId="9" xfId="0" applyFont="1" applyFill="1" applyBorder="1" applyAlignment="1" applyProtection="1">
      <alignment horizontal="left"/>
      <protection hidden="1"/>
    </xf>
    <xf numFmtId="0" fontId="43" fillId="18" borderId="11" xfId="0" applyFont="1" applyFill="1" applyBorder="1" applyAlignment="1" applyProtection="1">
      <alignment horizontal="center"/>
      <protection hidden="1"/>
    </xf>
    <xf numFmtId="0" fontId="43" fillId="18" borderId="5" xfId="0" applyFont="1" applyFill="1" applyBorder="1" applyAlignment="1" applyProtection="1">
      <protection hidden="1"/>
    </xf>
    <xf numFmtId="0" fontId="43" fillId="18" borderId="9" xfId="0" applyFont="1" applyFill="1" applyBorder="1" applyAlignment="1" applyProtection="1">
      <protection hidden="1"/>
    </xf>
    <xf numFmtId="0" fontId="43" fillId="18" borderId="10" xfId="0" applyFont="1" applyFill="1" applyBorder="1" applyAlignment="1" applyProtection="1">
      <protection hidden="1"/>
    </xf>
    <xf numFmtId="0" fontId="43" fillId="18" borderId="11" xfId="0" applyFont="1" applyFill="1" applyBorder="1" applyAlignment="1" applyProtection="1">
      <alignment horizontal="center" wrapText="1"/>
      <protection hidden="1"/>
    </xf>
    <xf numFmtId="0" fontId="43" fillId="18" borderId="3" xfId="0" applyFont="1" applyFill="1" applyBorder="1" applyAlignment="1" applyProtection="1">
      <alignment horizontal="right" vertical="center"/>
      <protection hidden="1"/>
    </xf>
    <xf numFmtId="0" fontId="43" fillId="18" borderId="11" xfId="0" applyFont="1" applyFill="1" applyBorder="1" applyAlignment="1" applyProtection="1">
      <alignment horizontal="left"/>
      <protection hidden="1"/>
    </xf>
    <xf numFmtId="2" fontId="33" fillId="10" borderId="10" xfId="0" applyNumberFormat="1" applyFont="1" applyFill="1" applyBorder="1" applyAlignment="1" applyProtection="1">
      <alignment horizontal="center" vertical="center"/>
      <protection hidden="1"/>
    </xf>
    <xf numFmtId="0" fontId="43" fillId="18" borderId="5" xfId="0" applyFont="1" applyFill="1" applyBorder="1" applyAlignment="1" applyProtection="1">
      <alignment horizontal="right" vertical="center"/>
      <protection hidden="1"/>
    </xf>
    <xf numFmtId="0" fontId="43" fillId="18" borderId="9" xfId="0" applyFont="1" applyFill="1" applyBorder="1" applyAlignment="1" applyProtection="1">
      <alignment horizontal="right" vertical="center"/>
      <protection hidden="1"/>
    </xf>
    <xf numFmtId="0" fontId="43" fillId="18" borderId="10" xfId="0" applyFont="1" applyFill="1" applyBorder="1" applyAlignment="1" applyProtection="1">
      <alignment horizontal="right" vertical="center"/>
      <protection hidden="1"/>
    </xf>
    <xf numFmtId="0" fontId="56" fillId="18" borderId="0" xfId="0" applyFont="1" applyFill="1" applyBorder="1" applyAlignment="1" applyProtection="1">
      <alignment vertical="center"/>
      <protection hidden="1"/>
    </xf>
    <xf numFmtId="0" fontId="43" fillId="19" borderId="5" xfId="0" applyFont="1" applyFill="1" applyBorder="1" applyAlignment="1" applyProtection="1">
      <alignment wrapText="1"/>
      <protection hidden="1"/>
    </xf>
    <xf numFmtId="0" fontId="43" fillId="19" borderId="9" xfId="0" applyFont="1" applyFill="1" applyBorder="1" applyAlignment="1" applyProtection="1">
      <protection hidden="1"/>
    </xf>
    <xf numFmtId="0" fontId="43" fillId="19" borderId="10" xfId="0" applyFont="1" applyFill="1" applyBorder="1" applyAlignment="1" applyProtection="1">
      <protection hidden="1"/>
    </xf>
    <xf numFmtId="0" fontId="43" fillId="19" borderId="3" xfId="0" applyFont="1" applyFill="1" applyBorder="1" applyAlignment="1" applyProtection="1">
      <alignment horizontal="center" wrapText="1"/>
      <protection hidden="1"/>
    </xf>
    <xf numFmtId="0" fontId="43" fillId="19" borderId="10" xfId="0" applyFont="1" applyFill="1" applyBorder="1" applyAlignment="1" applyProtection="1">
      <alignment horizontal="center" wrapText="1"/>
      <protection hidden="1"/>
    </xf>
    <xf numFmtId="0" fontId="43" fillId="19" borderId="3" xfId="0" applyFont="1" applyFill="1" applyBorder="1" applyAlignment="1" applyProtection="1">
      <alignment horizontal="left"/>
      <protection hidden="1"/>
    </xf>
    <xf numFmtId="0" fontId="43" fillId="19" borderId="5" xfId="0" applyFont="1" applyFill="1" applyBorder="1" applyAlignment="1" applyProtection="1">
      <alignment horizontal="right" vertical="center"/>
      <protection hidden="1"/>
    </xf>
    <xf numFmtId="0" fontId="43" fillId="19" borderId="9" xfId="0" applyFont="1" applyFill="1" applyBorder="1" applyAlignment="1" applyProtection="1">
      <alignment horizontal="right" vertical="center"/>
      <protection hidden="1"/>
    </xf>
    <xf numFmtId="0" fontId="43" fillId="19" borderId="10" xfId="0" applyFont="1" applyFill="1" applyBorder="1" applyAlignment="1" applyProtection="1">
      <alignment horizontal="right" vertical="center"/>
      <protection hidden="1"/>
    </xf>
    <xf numFmtId="0" fontId="43" fillId="19" borderId="5" xfId="0" applyFont="1" applyFill="1" applyBorder="1" applyProtection="1">
      <protection hidden="1"/>
    </xf>
    <xf numFmtId="0" fontId="43" fillId="19" borderId="9" xfId="0" applyFont="1" applyFill="1" applyBorder="1" applyProtection="1">
      <protection hidden="1"/>
    </xf>
    <xf numFmtId="0" fontId="43" fillId="19" borderId="3" xfId="0" applyFont="1" applyFill="1" applyBorder="1" applyAlignment="1" applyProtection="1">
      <alignment wrapText="1"/>
      <protection hidden="1"/>
    </xf>
    <xf numFmtId="0" fontId="57" fillId="19" borderId="9" xfId="0" applyFont="1" applyFill="1" applyBorder="1" applyProtection="1">
      <protection hidden="1"/>
    </xf>
    <xf numFmtId="0" fontId="57" fillId="19" borderId="10" xfId="0" applyFont="1" applyFill="1" applyBorder="1" applyProtection="1">
      <protection hidden="1"/>
    </xf>
    <xf numFmtId="0" fontId="43" fillId="19" borderId="5" xfId="0" applyFont="1" applyFill="1" applyBorder="1" applyAlignment="1" applyProtection="1">
      <alignment horizontal="left"/>
      <protection hidden="1"/>
    </xf>
    <xf numFmtId="0" fontId="43" fillId="19" borderId="3" xfId="0" applyFont="1" applyFill="1" applyBorder="1" applyAlignment="1" applyProtection="1">
      <alignment horizontal="center"/>
      <protection hidden="1"/>
    </xf>
    <xf numFmtId="0" fontId="28" fillId="19" borderId="3" xfId="0" applyFont="1" applyFill="1" applyBorder="1" applyAlignment="1" applyProtection="1">
      <alignment horizontal="center" wrapText="1"/>
      <protection hidden="1"/>
    </xf>
    <xf numFmtId="0" fontId="28" fillId="19" borderId="5" xfId="0" applyFont="1" applyFill="1" applyBorder="1" applyAlignment="1" applyProtection="1">
      <alignment horizontal="center" wrapText="1"/>
      <protection hidden="1"/>
    </xf>
    <xf numFmtId="0" fontId="28" fillId="19" borderId="3" xfId="0" applyFont="1" applyFill="1" applyBorder="1" applyAlignment="1" applyProtection="1">
      <alignment horizontal="right" wrapText="1"/>
      <protection hidden="1"/>
    </xf>
    <xf numFmtId="0" fontId="28" fillId="19" borderId="0" xfId="3" applyFont="1" applyFill="1" applyAlignment="1" applyProtection="1">
      <alignment horizontal="center"/>
      <protection hidden="1"/>
    </xf>
    <xf numFmtId="0" fontId="28" fillId="19" borderId="0" xfId="3" applyFont="1" applyFill="1" applyAlignment="1" applyProtection="1">
      <protection hidden="1"/>
    </xf>
    <xf numFmtId="0" fontId="28" fillId="19" borderId="0" xfId="3" applyFont="1" applyFill="1"/>
    <xf numFmtId="0" fontId="43" fillId="19" borderId="5" xfId="0" applyFont="1" applyFill="1" applyBorder="1" applyAlignment="1" applyProtection="1">
      <alignment horizontal="right" vertical="center" wrapText="1"/>
      <protection hidden="1"/>
    </xf>
    <xf numFmtId="2" fontId="32" fillId="4" borderId="0" xfId="0" applyNumberFormat="1" applyFont="1" applyFill="1" applyAlignment="1" applyProtection="1">
      <alignment horizontal="center" vertical="center"/>
      <protection hidden="1"/>
    </xf>
    <xf numFmtId="0" fontId="32" fillId="9" borderId="0" xfId="0" applyFont="1" applyFill="1" applyAlignment="1" applyProtection="1">
      <alignment horizontal="left" vertical="top" wrapText="1"/>
      <protection hidden="1"/>
    </xf>
    <xf numFmtId="0" fontId="32" fillId="0" borderId="0" xfId="0" applyFont="1" applyAlignment="1" applyProtection="1">
      <alignment horizontal="left" vertical="top" wrapText="1"/>
      <protection hidden="1"/>
    </xf>
    <xf numFmtId="0" fontId="28" fillId="18" borderId="0" xfId="0" applyFont="1" applyFill="1" applyBorder="1" applyAlignment="1" applyProtection="1">
      <alignment vertical="center"/>
      <protection hidden="1"/>
    </xf>
    <xf numFmtId="0" fontId="28" fillId="18" borderId="0" xfId="0" applyFont="1" applyFill="1" applyBorder="1" applyAlignment="1" applyProtection="1">
      <alignment horizontal="right" vertical="center"/>
      <protection hidden="1"/>
    </xf>
    <xf numFmtId="0" fontId="43" fillId="18" borderId="0" xfId="0" applyFont="1" applyFill="1" applyBorder="1" applyAlignment="1" applyProtection="1">
      <alignment horizontal="right" vertical="center"/>
      <protection hidden="1"/>
    </xf>
    <xf numFmtId="0" fontId="32" fillId="9" borderId="0" xfId="0" applyFont="1" applyFill="1" applyBorder="1" applyAlignment="1" applyProtection="1">
      <alignment horizontal="left" vertical="center"/>
      <protection locked="0"/>
    </xf>
    <xf numFmtId="0" fontId="32" fillId="9" borderId="0" xfId="0" applyFont="1" applyFill="1" applyBorder="1" applyProtection="1">
      <protection locked="0"/>
    </xf>
    <xf numFmtId="0" fontId="44" fillId="4" borderId="0" xfId="0" applyFont="1" applyFill="1" applyBorder="1" applyAlignment="1" applyProtection="1">
      <alignment horizontal="center" vertical="center"/>
      <protection hidden="1"/>
    </xf>
    <xf numFmtId="0" fontId="32" fillId="9" borderId="0" xfId="0" applyFont="1" applyFill="1" applyBorder="1" applyAlignment="1" applyProtection="1">
      <alignment vertical="center"/>
      <protection locked="0"/>
    </xf>
    <xf numFmtId="0" fontId="27" fillId="9" borderId="0" xfId="2" applyFont="1" applyFill="1" applyBorder="1" applyAlignment="1" applyProtection="1">
      <alignment horizontal="center" vertical="center"/>
      <protection locked="0" hidden="1"/>
    </xf>
    <xf numFmtId="0" fontId="28" fillId="9" borderId="0" xfId="0" applyFont="1" applyFill="1" applyBorder="1" applyAlignment="1" applyProtection="1">
      <alignment vertical="center"/>
      <protection hidden="1"/>
    </xf>
    <xf numFmtId="0" fontId="54" fillId="9" borderId="0" xfId="0" applyFont="1" applyFill="1" applyBorder="1" applyAlignment="1" applyProtection="1">
      <alignment vertical="center"/>
      <protection hidden="1"/>
    </xf>
    <xf numFmtId="0" fontId="58" fillId="4" borderId="3" xfId="0" applyFont="1" applyFill="1" applyBorder="1" applyProtection="1">
      <protection hidden="1"/>
    </xf>
    <xf numFmtId="0" fontId="32" fillId="4" borderId="3" xfId="0" applyFont="1" applyFill="1" applyBorder="1" applyProtection="1">
      <protection hidden="1"/>
    </xf>
    <xf numFmtId="0" fontId="29" fillId="9" borderId="0" xfId="2" applyFont="1" applyFill="1" applyProtection="1">
      <protection hidden="1"/>
    </xf>
    <xf numFmtId="0" fontId="27" fillId="10" borderId="0" xfId="2" applyFill="1" applyBorder="1" applyProtection="1">
      <protection hidden="1"/>
    </xf>
    <xf numFmtId="10" fontId="27" fillId="10" borderId="0" xfId="6" applyNumberFormat="1" applyFont="1" applyFill="1" applyBorder="1" applyAlignment="1" applyProtection="1">
      <alignment horizontal="center" vertical="center"/>
      <protection hidden="1"/>
    </xf>
    <xf numFmtId="10" fontId="27" fillId="10" borderId="0" xfId="2" applyNumberFormat="1" applyFill="1" applyBorder="1" applyAlignment="1" applyProtection="1">
      <alignment horizontal="center"/>
      <protection hidden="1"/>
    </xf>
    <xf numFmtId="10" fontId="48" fillId="9" borderId="3" xfId="6" applyNumberFormat="1" applyFont="1" applyFill="1" applyBorder="1" applyAlignment="1" applyProtection="1">
      <alignment horizontal="center" vertical="center"/>
      <protection locked="0" hidden="1"/>
    </xf>
    <xf numFmtId="0" fontId="48" fillId="9" borderId="3" xfId="2" applyFont="1" applyFill="1" applyBorder="1" applyAlignment="1" applyProtection="1">
      <alignment horizontal="center" vertical="center"/>
      <protection locked="0" hidden="1"/>
    </xf>
    <xf numFmtId="0" fontId="3" fillId="10" borderId="3" xfId="2" applyFont="1" applyFill="1" applyBorder="1" applyProtection="1">
      <protection hidden="1"/>
    </xf>
    <xf numFmtId="164" fontId="48" fillId="9" borderId="3" xfId="3" applyNumberFormat="1" applyFont="1" applyFill="1" applyBorder="1" applyAlignment="1">
      <alignment horizontal="center" vertical="center"/>
    </xf>
    <xf numFmtId="0" fontId="2" fillId="10" borderId="3" xfId="2" applyFont="1" applyFill="1" applyBorder="1" applyProtection="1">
      <protection hidden="1"/>
    </xf>
    <xf numFmtId="0" fontId="28" fillId="9" borderId="12" xfId="0" applyFont="1" applyFill="1" applyBorder="1" applyAlignment="1" applyProtection="1">
      <alignment vertical="center"/>
      <protection hidden="1"/>
    </xf>
    <xf numFmtId="10" fontId="5" fillId="0" borderId="3" xfId="6" applyNumberFormat="1" applyFont="1" applyFill="1" applyBorder="1" applyAlignment="1" applyProtection="1">
      <alignment horizontal="center" vertical="center"/>
      <protection hidden="1"/>
    </xf>
    <xf numFmtId="10" fontId="5" fillId="20" borderId="3" xfId="6" applyNumberFormat="1" applyFont="1" applyFill="1" applyBorder="1" applyAlignment="1" applyProtection="1">
      <alignment horizontal="center" vertical="center"/>
      <protection hidden="1"/>
    </xf>
    <xf numFmtId="0" fontId="28" fillId="9" borderId="0" xfId="3" applyFont="1" applyFill="1" applyAlignment="1" applyProtection="1">
      <alignment horizontal="center"/>
      <protection hidden="1"/>
    </xf>
    <xf numFmtId="0" fontId="28" fillId="9" borderId="0" xfId="3" applyFont="1" applyFill="1" applyAlignment="1" applyProtection="1">
      <protection hidden="1"/>
    </xf>
    <xf numFmtId="0" fontId="28" fillId="9" borderId="0" xfId="3" applyFont="1" applyFill="1"/>
    <xf numFmtId="0" fontId="43" fillId="9" borderId="0" xfId="3" applyFont="1" applyFill="1"/>
    <xf numFmtId="0" fontId="5" fillId="9" borderId="5" xfId="0" applyFont="1" applyFill="1" applyBorder="1" applyAlignment="1" applyProtection="1">
      <alignment horizontal="left" vertical="top" wrapText="1"/>
      <protection locked="0"/>
    </xf>
    <xf numFmtId="0" fontId="5" fillId="9" borderId="9" xfId="0" applyFont="1" applyFill="1" applyBorder="1" applyAlignment="1" applyProtection="1">
      <alignment horizontal="left" vertical="top" wrapText="1"/>
      <protection locked="0"/>
    </xf>
    <xf numFmtId="0" fontId="5" fillId="9" borderId="10" xfId="0" applyFont="1" applyFill="1" applyBorder="1" applyAlignment="1" applyProtection="1">
      <alignment horizontal="left" vertical="top" wrapText="1"/>
      <protection locked="0"/>
    </xf>
    <xf numFmtId="0" fontId="6" fillId="9" borderId="5" xfId="0" applyFont="1" applyFill="1" applyBorder="1" applyAlignment="1" applyProtection="1">
      <alignment horizontal="left" vertical="top" wrapText="1"/>
      <protection locked="0"/>
    </xf>
    <xf numFmtId="0" fontId="6" fillId="9" borderId="9" xfId="0" applyFont="1" applyFill="1" applyBorder="1" applyAlignment="1" applyProtection="1">
      <alignment horizontal="left" vertical="top" wrapText="1"/>
      <protection locked="0"/>
    </xf>
    <xf numFmtId="0" fontId="6" fillId="9" borderId="10" xfId="0" applyFont="1" applyFill="1" applyBorder="1" applyAlignment="1" applyProtection="1">
      <alignment horizontal="left" vertical="top" wrapText="1"/>
      <protection locked="0"/>
    </xf>
    <xf numFmtId="9" fontId="20" fillId="13" borderId="5" xfId="6" applyFont="1" applyFill="1" applyBorder="1" applyAlignment="1">
      <alignment horizontal="center"/>
    </xf>
    <xf numFmtId="9" fontId="20" fillId="13" borderId="10" xfId="6" applyFont="1" applyFill="1" applyBorder="1" applyAlignment="1">
      <alignment horizontal="center"/>
    </xf>
    <xf numFmtId="0" fontId="20" fillId="13" borderId="5" xfId="0" applyFont="1" applyFill="1" applyBorder="1" applyAlignment="1">
      <alignment horizontal="center" wrapText="1"/>
    </xf>
    <xf numFmtId="0" fontId="20" fillId="13" borderId="10" xfId="0" applyFont="1" applyFill="1" applyBorder="1" applyAlignment="1">
      <alignment horizontal="center" wrapText="1"/>
    </xf>
    <xf numFmtId="0" fontId="32" fillId="9" borderId="5" xfId="0" applyFont="1" applyFill="1" applyBorder="1" applyAlignment="1" applyProtection="1">
      <alignment horizontal="center" wrapText="1"/>
      <protection locked="0"/>
    </xf>
    <xf numFmtId="0" fontId="32" fillId="9" borderId="10" xfId="0" applyFont="1" applyFill="1" applyBorder="1" applyAlignment="1" applyProtection="1">
      <alignment horizontal="center" wrapText="1"/>
      <protection locked="0"/>
    </xf>
    <xf numFmtId="0" fontId="32" fillId="9" borderId="5" xfId="0" applyFont="1" applyFill="1" applyBorder="1" applyAlignment="1" applyProtection="1">
      <alignment horizontal="center" vertical="center" wrapText="1"/>
      <protection locked="0"/>
    </xf>
    <xf numFmtId="0" fontId="32" fillId="9" borderId="10" xfId="0" applyFont="1" applyFill="1" applyBorder="1" applyAlignment="1" applyProtection="1">
      <alignment horizontal="center" vertical="center" wrapText="1"/>
      <protection locked="0"/>
    </xf>
    <xf numFmtId="0" fontId="32" fillId="9" borderId="0" xfId="0" applyFont="1" applyFill="1" applyBorder="1" applyAlignment="1" applyProtection="1">
      <alignment horizontal="left" vertical="top" wrapText="1"/>
      <protection hidden="1"/>
    </xf>
    <xf numFmtId="0" fontId="32" fillId="4" borderId="0" xfId="0" applyFont="1" applyFill="1" applyAlignment="1" applyProtection="1">
      <alignment horizontal="left" vertical="top" wrapText="1"/>
      <protection hidden="1"/>
    </xf>
    <xf numFmtId="0" fontId="32" fillId="10" borderId="3" xfId="0" applyFont="1" applyFill="1" applyBorder="1" applyAlignment="1" applyProtection="1">
      <alignment horizontal="left" vertical="center" wrapText="1"/>
      <protection hidden="1"/>
    </xf>
    <xf numFmtId="0" fontId="32" fillId="4" borderId="12" xfId="0" applyFont="1" applyFill="1" applyBorder="1" applyAlignment="1" applyProtection="1">
      <alignment horizontal="left" vertical="center" wrapText="1"/>
      <protection hidden="1"/>
    </xf>
    <xf numFmtId="0" fontId="32" fillId="4" borderId="0" xfId="0" applyFont="1" applyFill="1" applyAlignment="1" applyProtection="1">
      <alignment horizontal="left" vertical="center" wrapText="1"/>
      <protection hidden="1"/>
    </xf>
    <xf numFmtId="0" fontId="32" fillId="9" borderId="0" xfId="0" applyFont="1" applyFill="1" applyBorder="1" applyAlignment="1" applyProtection="1">
      <alignment vertical="center" wrapText="1"/>
      <protection hidden="1"/>
    </xf>
    <xf numFmtId="0" fontId="5" fillId="0" borderId="0" xfId="0" applyFont="1" applyAlignment="1" applyProtection="1">
      <alignment vertical="center" wrapText="1"/>
      <protection hidden="1"/>
    </xf>
    <xf numFmtId="0" fontId="32" fillId="10" borderId="11" xfId="0" applyFont="1" applyFill="1" applyBorder="1" applyAlignment="1" applyProtection="1">
      <alignment horizontal="left" vertical="center" wrapText="1"/>
      <protection hidden="1"/>
    </xf>
    <xf numFmtId="0" fontId="32" fillId="10" borderId="7" xfId="0" applyFont="1" applyFill="1" applyBorder="1" applyAlignment="1" applyProtection="1">
      <protection hidden="1"/>
    </xf>
    <xf numFmtId="0" fontId="32" fillId="10" borderId="7" xfId="0" applyFont="1" applyFill="1" applyBorder="1" applyAlignment="1" applyProtection="1">
      <alignment horizontal="left" vertical="center" wrapText="1"/>
      <protection hidden="1"/>
    </xf>
    <xf numFmtId="0" fontId="32" fillId="10" borderId="7" xfId="0" applyFont="1" applyFill="1" applyBorder="1" applyAlignment="1" applyProtection="1">
      <alignment wrapText="1"/>
      <protection hidden="1"/>
    </xf>
    <xf numFmtId="0" fontId="32" fillId="10" borderId="8" xfId="0" applyFont="1" applyFill="1" applyBorder="1" applyAlignment="1" applyProtection="1">
      <alignment horizontal="left" vertical="center" wrapText="1"/>
      <protection hidden="1"/>
    </xf>
    <xf numFmtId="0" fontId="32" fillId="10" borderId="16" xfId="0" applyFont="1" applyFill="1" applyBorder="1" applyAlignment="1" applyProtection="1">
      <alignment horizontal="left" vertical="center" wrapText="1"/>
      <protection hidden="1"/>
    </xf>
    <xf numFmtId="0" fontId="32" fillId="9" borderId="0" xfId="0" applyFont="1" applyFill="1" applyBorder="1" applyAlignment="1" applyProtection="1">
      <alignment vertical="top" wrapText="1"/>
      <protection hidden="1"/>
    </xf>
    <xf numFmtId="0" fontId="5" fillId="0" borderId="0" xfId="0" applyFont="1" applyBorder="1" applyAlignment="1" applyProtection="1">
      <alignment vertical="top" wrapText="1"/>
      <protection hidden="1"/>
    </xf>
    <xf numFmtId="0" fontId="32" fillId="9" borderId="3" xfId="0" applyFont="1" applyFill="1" applyBorder="1" applyAlignment="1" applyProtection="1">
      <alignment horizontal="center" vertical="center"/>
      <protection locked="0"/>
    </xf>
    <xf numFmtId="0" fontId="32" fillId="9" borderId="12" xfId="0" applyFont="1" applyFill="1" applyBorder="1" applyAlignment="1" applyProtection="1">
      <alignment horizontal="left" vertical="top" wrapText="1"/>
      <protection hidden="1"/>
    </xf>
    <xf numFmtId="0" fontId="32" fillId="10" borderId="5" xfId="0" applyFont="1" applyFill="1" applyBorder="1" applyAlignment="1" applyProtection="1">
      <alignment horizontal="right" vertical="center"/>
      <protection hidden="1"/>
    </xf>
    <xf numFmtId="0" fontId="32" fillId="10" borderId="9" xfId="0" applyFont="1" applyFill="1" applyBorder="1" applyAlignment="1" applyProtection="1">
      <alignment horizontal="right" vertical="center"/>
      <protection hidden="1"/>
    </xf>
    <xf numFmtId="0" fontId="32" fillId="10" borderId="10" xfId="0" applyFont="1" applyFill="1" applyBorder="1" applyAlignment="1" applyProtection="1">
      <alignment horizontal="right" vertical="center"/>
      <protection hidden="1"/>
    </xf>
    <xf numFmtId="0" fontId="32" fillId="10" borderId="3" xfId="0" applyFont="1" applyFill="1" applyBorder="1" applyAlignment="1" applyProtection="1">
      <alignment horizontal="left" vertical="top" wrapText="1"/>
      <protection hidden="1"/>
    </xf>
    <xf numFmtId="0" fontId="5" fillId="0" borderId="0" xfId="0" applyFont="1" applyProtection="1">
      <protection hidden="1"/>
    </xf>
    <xf numFmtId="0" fontId="32" fillId="4" borderId="12" xfId="0" applyFont="1" applyFill="1" applyBorder="1" applyAlignment="1" applyProtection="1">
      <alignment horizontal="left" vertical="top" wrapText="1"/>
      <protection hidden="1"/>
    </xf>
    <xf numFmtId="0" fontId="32" fillId="4" borderId="0" xfId="0" applyFont="1" applyFill="1" applyBorder="1" applyAlignment="1" applyProtection="1">
      <alignment horizontal="left" vertical="top" wrapText="1"/>
      <protection hidden="1"/>
    </xf>
    <xf numFmtId="0" fontId="43" fillId="19" borderId="5" xfId="0" applyFont="1" applyFill="1" applyBorder="1" applyAlignment="1" applyProtection="1">
      <alignment horizontal="left" wrapText="1"/>
      <protection hidden="1"/>
    </xf>
    <xf numFmtId="0" fontId="43" fillId="19" borderId="9" xfId="0" applyFont="1" applyFill="1" applyBorder="1" applyAlignment="1" applyProtection="1">
      <alignment horizontal="left" wrapText="1"/>
      <protection hidden="1"/>
    </xf>
    <xf numFmtId="0" fontId="43" fillId="19" borderId="10" xfId="0" applyFont="1" applyFill="1" applyBorder="1" applyAlignment="1" applyProtection="1">
      <alignment horizontal="left" wrapText="1"/>
      <protection hidden="1"/>
    </xf>
    <xf numFmtId="0" fontId="32" fillId="10" borderId="5" xfId="0" applyFont="1" applyFill="1" applyBorder="1" applyAlignment="1" applyProtection="1">
      <alignment horizontal="left" vertical="center" wrapText="1"/>
      <protection hidden="1"/>
    </xf>
    <xf numFmtId="0" fontId="32" fillId="10" borderId="9" xfId="0" applyFont="1" applyFill="1" applyBorder="1" applyAlignment="1" applyProtection="1">
      <alignment horizontal="left" vertical="center" wrapText="1"/>
      <protection hidden="1"/>
    </xf>
    <xf numFmtId="0" fontId="32" fillId="10" borderId="10" xfId="0" applyFont="1" applyFill="1" applyBorder="1" applyAlignment="1" applyProtection="1">
      <alignment horizontal="left" vertical="center" wrapText="1"/>
      <protection hidden="1"/>
    </xf>
    <xf numFmtId="0" fontId="32" fillId="9" borderId="0" xfId="0" applyFont="1" applyFill="1" applyAlignment="1" applyProtection="1">
      <alignment horizontal="left" vertical="top" wrapText="1"/>
      <protection hidden="1"/>
    </xf>
    <xf numFmtId="0" fontId="5" fillId="9" borderId="0" xfId="0" applyFont="1" applyFill="1" applyBorder="1" applyAlignment="1" applyProtection="1">
      <alignment vertical="top" wrapText="1"/>
      <protection hidden="1"/>
    </xf>
    <xf numFmtId="0" fontId="32" fillId="10" borderId="5" xfId="0" applyFont="1" applyFill="1" applyBorder="1" applyAlignment="1" applyProtection="1">
      <alignment horizontal="left" vertical="top" wrapText="1"/>
      <protection hidden="1"/>
    </xf>
    <xf numFmtId="0" fontId="32" fillId="10" borderId="9" xfId="0" applyFont="1" applyFill="1" applyBorder="1" applyAlignment="1" applyProtection="1">
      <alignment horizontal="left" vertical="top" wrapText="1"/>
      <protection hidden="1"/>
    </xf>
    <xf numFmtId="0" fontId="32" fillId="10" borderId="10" xfId="0" applyFont="1" applyFill="1" applyBorder="1" applyAlignment="1" applyProtection="1">
      <alignment horizontal="left" vertical="top" wrapText="1"/>
      <protection hidden="1"/>
    </xf>
    <xf numFmtId="0" fontId="32" fillId="9" borderId="5" xfId="0" applyFont="1" applyFill="1" applyBorder="1" applyAlignment="1" applyProtection="1">
      <alignment horizontal="center" vertical="center"/>
      <protection locked="0"/>
    </xf>
    <xf numFmtId="0" fontId="32" fillId="9" borderId="9" xfId="0" applyFont="1" applyFill="1" applyBorder="1" applyAlignment="1" applyProtection="1">
      <alignment horizontal="center" vertical="center"/>
      <protection locked="0"/>
    </xf>
    <xf numFmtId="0" fontId="32" fillId="9" borderId="10" xfId="0" applyFont="1" applyFill="1" applyBorder="1" applyAlignment="1" applyProtection="1">
      <alignment horizontal="center" vertical="center"/>
      <protection locked="0"/>
    </xf>
    <xf numFmtId="0" fontId="32" fillId="9" borderId="12" xfId="0" applyFont="1" applyFill="1" applyBorder="1" applyAlignment="1" applyProtection="1">
      <alignment vertical="center" wrapText="1"/>
      <protection hidden="1"/>
    </xf>
    <xf numFmtId="0" fontId="5" fillId="0" borderId="0" xfId="0" applyFont="1" applyAlignment="1" applyProtection="1">
      <alignment vertical="center"/>
      <protection hidden="1"/>
    </xf>
    <xf numFmtId="0" fontId="32" fillId="0" borderId="0" xfId="0" applyFont="1" applyAlignment="1" applyProtection="1">
      <alignment horizontal="left" vertical="top" wrapText="1"/>
      <protection hidden="1"/>
    </xf>
    <xf numFmtId="0" fontId="28" fillId="19" borderId="5" xfId="0" applyFont="1" applyFill="1" applyBorder="1" applyAlignment="1" applyProtection="1">
      <alignment horizontal="right" vertical="center" wrapText="1"/>
      <protection hidden="1"/>
    </xf>
    <xf numFmtId="0" fontId="28" fillId="19" borderId="10" xfId="0" applyFont="1" applyFill="1" applyBorder="1" applyAlignment="1" applyProtection="1">
      <alignment horizontal="right" vertical="center" wrapText="1"/>
      <protection hidden="1"/>
    </xf>
    <xf numFmtId="0" fontId="28" fillId="19" borderId="3" xfId="0" applyFont="1" applyFill="1" applyBorder="1" applyAlignment="1" applyProtection="1">
      <alignment horizontal="right" wrapText="1"/>
      <protection hidden="1"/>
    </xf>
    <xf numFmtId="0" fontId="28" fillId="19" borderId="3" xfId="0" applyFont="1" applyFill="1" applyBorder="1" applyAlignment="1" applyProtection="1">
      <alignment horizontal="right" vertical="center" wrapText="1"/>
      <protection hidden="1"/>
    </xf>
    <xf numFmtId="0" fontId="28" fillId="19" borderId="5" xfId="0" applyFont="1" applyFill="1" applyBorder="1" applyAlignment="1" applyProtection="1">
      <alignment horizontal="left" vertical="center" wrapText="1"/>
      <protection hidden="1"/>
    </xf>
    <xf numFmtId="0" fontId="28" fillId="19" borderId="9" xfId="0" applyFont="1" applyFill="1" applyBorder="1" applyAlignment="1" applyProtection="1">
      <alignment horizontal="left" vertical="center" wrapText="1"/>
      <protection hidden="1"/>
    </xf>
    <xf numFmtId="0" fontId="28" fillId="19" borderId="10" xfId="0" applyFont="1" applyFill="1" applyBorder="1" applyAlignment="1" applyProtection="1">
      <alignment horizontal="left" vertical="center" wrapText="1"/>
      <protection hidden="1"/>
    </xf>
    <xf numFmtId="0" fontId="27" fillId="10" borderId="5" xfId="2" applyFont="1" applyFill="1" applyBorder="1" applyAlignment="1" applyProtection="1">
      <alignment horizontal="center" vertical="center" wrapText="1"/>
      <protection hidden="1"/>
    </xf>
    <xf numFmtId="0" fontId="27" fillId="10" borderId="10" xfId="2" applyFont="1" applyFill="1" applyBorder="1" applyAlignment="1" applyProtection="1">
      <alignment horizontal="center" vertical="center" wrapText="1"/>
      <protection hidden="1"/>
    </xf>
    <xf numFmtId="0" fontId="28" fillId="19" borderId="3" xfId="0" applyFont="1" applyFill="1" applyBorder="1" applyAlignment="1" applyProtection="1">
      <alignment horizontal="right"/>
      <protection hidden="1"/>
    </xf>
    <xf numFmtId="0" fontId="41" fillId="16" borderId="5" xfId="0" applyFont="1" applyFill="1" applyBorder="1" applyAlignment="1" applyProtection="1">
      <alignment horizontal="left" wrapText="1"/>
      <protection locked="0" hidden="1"/>
    </xf>
    <xf numFmtId="0" fontId="41" fillId="16" borderId="9" xfId="0" applyFont="1" applyFill="1" applyBorder="1" applyAlignment="1" applyProtection="1">
      <alignment horizontal="left" wrapText="1"/>
      <protection locked="0" hidden="1"/>
    </xf>
    <xf numFmtId="0" fontId="41" fillId="16" borderId="10" xfId="0" applyFont="1" applyFill="1" applyBorder="1" applyAlignment="1" applyProtection="1">
      <alignment horizontal="left" wrapText="1"/>
      <protection locked="0" hidden="1"/>
    </xf>
    <xf numFmtId="0" fontId="27" fillId="9" borderId="5" xfId="2" applyFont="1" applyFill="1" applyBorder="1" applyAlignment="1" applyProtection="1">
      <alignment horizontal="left" vertical="center"/>
      <protection locked="0" hidden="1"/>
    </xf>
    <xf numFmtId="0" fontId="27" fillId="9" borderId="9" xfId="2" applyFont="1" applyFill="1" applyBorder="1" applyAlignment="1" applyProtection="1">
      <alignment horizontal="left" vertical="center"/>
      <protection locked="0" hidden="1"/>
    </xf>
    <xf numFmtId="0" fontId="27" fillId="9" borderId="10" xfId="2" applyFont="1" applyFill="1" applyBorder="1" applyAlignment="1" applyProtection="1">
      <alignment horizontal="left" vertical="center"/>
      <protection locked="0" hidden="1"/>
    </xf>
    <xf numFmtId="0" fontId="27" fillId="9" borderId="5" xfId="2" applyFont="1" applyFill="1" applyBorder="1" applyAlignment="1" applyProtection="1">
      <alignment horizontal="center" vertical="center"/>
      <protection locked="0" hidden="1"/>
    </xf>
    <xf numFmtId="0" fontId="27" fillId="9" borderId="10" xfId="2" applyFont="1" applyFill="1" applyBorder="1" applyAlignment="1" applyProtection="1">
      <alignment horizontal="center" vertical="center"/>
      <protection locked="0" hidden="1"/>
    </xf>
    <xf numFmtId="0" fontId="27" fillId="9" borderId="13" xfId="2" applyFont="1" applyFill="1" applyBorder="1" applyAlignment="1" applyProtection="1">
      <alignment horizontal="center" vertical="center"/>
      <protection locked="0" hidden="1"/>
    </xf>
    <xf numFmtId="0" fontId="27" fillId="9" borderId="14" xfId="2" applyFont="1" applyFill="1" applyBorder="1" applyAlignment="1" applyProtection="1">
      <alignment horizontal="center" vertical="center"/>
      <protection locked="0" hidden="1"/>
    </xf>
    <xf numFmtId="0" fontId="48" fillId="0" borderId="5" xfId="2" applyFont="1" applyFill="1" applyBorder="1" applyAlignment="1" applyProtection="1">
      <alignment horizontal="center" vertical="center"/>
      <protection locked="0" hidden="1"/>
    </xf>
    <xf numFmtId="0" fontId="48" fillId="0" borderId="9" xfId="2" applyFont="1" applyFill="1" applyBorder="1" applyAlignment="1" applyProtection="1">
      <alignment horizontal="center" vertical="center"/>
      <protection locked="0" hidden="1"/>
    </xf>
    <xf numFmtId="0" fontId="48" fillId="0" borderId="10" xfId="2" applyFont="1" applyFill="1" applyBorder="1" applyAlignment="1" applyProtection="1">
      <alignment horizontal="center" vertical="center"/>
      <protection locked="0" hidden="1"/>
    </xf>
    <xf numFmtId="0" fontId="28" fillId="19" borderId="13" xfId="0" applyFont="1" applyFill="1" applyBorder="1" applyAlignment="1" applyProtection="1">
      <alignment horizontal="right" vertical="center" wrapText="1"/>
      <protection hidden="1"/>
    </xf>
    <xf numFmtId="0" fontId="28" fillId="19" borderId="14" xfId="0" applyFont="1" applyFill="1" applyBorder="1" applyAlignment="1" applyProtection="1">
      <alignment horizontal="right" vertical="center" wrapText="1"/>
      <protection hidden="1"/>
    </xf>
    <xf numFmtId="0" fontId="59" fillId="19" borderId="11" xfId="0" applyFont="1" applyFill="1" applyBorder="1" applyAlignment="1" applyProtection="1">
      <alignment horizontal="center" vertical="center"/>
      <protection hidden="1"/>
    </xf>
    <xf numFmtId="0" fontId="59" fillId="19" borderId="6" xfId="0" applyFont="1" applyFill="1" applyBorder="1" applyAlignment="1" applyProtection="1">
      <alignment horizontal="center" vertical="center"/>
      <protection hidden="1"/>
    </xf>
    <xf numFmtId="0" fontId="59" fillId="19" borderId="7" xfId="0" applyFont="1" applyFill="1" applyBorder="1" applyAlignment="1" applyProtection="1">
      <alignment horizontal="center" vertical="center"/>
      <protection hidden="1"/>
    </xf>
    <xf numFmtId="0" fontId="28" fillId="9" borderId="0" xfId="2" applyFont="1" applyFill="1" applyBorder="1" applyAlignment="1" applyProtection="1">
      <alignment horizontal="left" vertical="center"/>
      <protection locked="0" hidden="1"/>
    </xf>
    <xf numFmtId="0" fontId="52" fillId="9" borderId="0" xfId="2" applyFont="1" applyFill="1" applyBorder="1" applyAlignment="1" applyProtection="1">
      <alignment horizontal="left" vertical="top" wrapText="1"/>
      <protection hidden="1"/>
    </xf>
    <xf numFmtId="0" fontId="48" fillId="9" borderId="5" xfId="2" applyFont="1" applyFill="1" applyBorder="1" applyAlignment="1" applyProtection="1">
      <alignment horizontal="center" vertical="center"/>
      <protection locked="0" hidden="1"/>
    </xf>
    <xf numFmtId="0" fontId="48" fillId="9" borderId="9" xfId="2" applyFont="1" applyFill="1" applyBorder="1" applyAlignment="1" applyProtection="1">
      <alignment horizontal="center" vertical="center"/>
      <protection locked="0" hidden="1"/>
    </xf>
    <xf numFmtId="0" fontId="48" fillId="9" borderId="10" xfId="2" applyFont="1" applyFill="1" applyBorder="1" applyAlignment="1" applyProtection="1">
      <alignment horizontal="center" vertical="center"/>
      <protection locked="0" hidden="1"/>
    </xf>
    <xf numFmtId="0" fontId="32" fillId="9" borderId="5" xfId="0" applyFont="1" applyFill="1" applyBorder="1" applyAlignment="1" applyProtection="1">
      <alignment horizontal="left" vertical="center"/>
      <protection hidden="1"/>
    </xf>
    <xf numFmtId="0" fontId="32" fillId="9" borderId="9" xfId="0" applyFont="1" applyFill="1" applyBorder="1" applyAlignment="1" applyProtection="1">
      <alignment horizontal="left" vertical="center"/>
      <protection hidden="1"/>
    </xf>
    <xf numFmtId="0" fontId="32" fillId="9" borderId="10" xfId="0" applyFont="1" applyFill="1" applyBorder="1" applyAlignment="1" applyProtection="1">
      <alignment horizontal="left" vertical="center"/>
      <protection hidden="1"/>
    </xf>
    <xf numFmtId="0" fontId="32" fillId="9" borderId="5" xfId="0" applyFont="1" applyFill="1" applyBorder="1" applyAlignment="1" applyProtection="1">
      <alignment horizontal="left" vertical="center" wrapText="1"/>
      <protection locked="0"/>
    </xf>
    <xf numFmtId="0" fontId="32" fillId="9" borderId="10" xfId="0" applyFont="1" applyFill="1" applyBorder="1" applyAlignment="1" applyProtection="1">
      <alignment horizontal="left" vertical="center" wrapText="1"/>
      <protection locked="0"/>
    </xf>
    <xf numFmtId="0" fontId="43" fillId="19" borderId="5" xfId="0" applyFont="1" applyFill="1" applyBorder="1" applyAlignment="1" applyProtection="1">
      <alignment horizontal="right" vertical="center"/>
      <protection hidden="1"/>
    </xf>
    <xf numFmtId="0" fontId="43" fillId="19" borderId="10" xfId="0" applyFont="1" applyFill="1" applyBorder="1" applyAlignment="1" applyProtection="1">
      <alignment horizontal="right" vertical="center"/>
      <protection hidden="1"/>
    </xf>
    <xf numFmtId="0" fontId="48" fillId="9" borderId="3" xfId="3" applyFont="1" applyFill="1" applyBorder="1" applyAlignment="1">
      <alignment horizontal="left" vertical="top" wrapText="1"/>
    </xf>
    <xf numFmtId="0" fontId="48" fillId="9" borderId="5" xfId="3" applyFont="1" applyFill="1" applyBorder="1" applyAlignment="1">
      <alignment horizontal="left" vertical="center" wrapText="1"/>
    </xf>
    <xf numFmtId="0" fontId="48" fillId="9" borderId="9" xfId="3" applyFont="1" applyFill="1" applyBorder="1" applyAlignment="1">
      <alignment horizontal="left" vertical="center" wrapText="1"/>
    </xf>
    <xf numFmtId="0" fontId="48" fillId="9" borderId="10" xfId="3" applyFont="1" applyFill="1" applyBorder="1" applyAlignment="1">
      <alignment horizontal="left" vertical="center" wrapText="1"/>
    </xf>
    <xf numFmtId="0" fontId="48" fillId="9" borderId="13" xfId="3" applyFont="1" applyFill="1" applyBorder="1" applyAlignment="1">
      <alignment horizontal="left" vertical="top" wrapText="1"/>
    </xf>
    <xf numFmtId="0" fontId="48" fillId="9" borderId="15" xfId="3" applyFont="1" applyFill="1" applyBorder="1" applyAlignment="1">
      <alignment horizontal="left" vertical="top" wrapText="1"/>
    </xf>
    <xf numFmtId="0" fontId="48" fillId="9" borderId="14" xfId="3" applyFont="1" applyFill="1" applyBorder="1" applyAlignment="1">
      <alignment horizontal="left" vertical="top" wrapText="1"/>
    </xf>
    <xf numFmtId="0" fontId="48" fillId="9" borderId="12" xfId="3" applyFont="1" applyFill="1" applyBorder="1" applyAlignment="1">
      <alignment horizontal="left" vertical="top" wrapText="1"/>
    </xf>
    <xf numFmtId="0" fontId="48" fillId="9" borderId="0" xfId="3" applyFont="1" applyFill="1" applyBorder="1" applyAlignment="1">
      <alignment horizontal="left" vertical="top" wrapText="1"/>
    </xf>
    <xf numFmtId="0" fontId="48" fillId="9" borderId="17" xfId="3" applyFont="1" applyFill="1" applyBorder="1" applyAlignment="1">
      <alignment horizontal="left" vertical="top" wrapText="1"/>
    </xf>
    <xf numFmtId="0" fontId="48" fillId="9" borderId="8" xfId="3" applyFont="1" applyFill="1" applyBorder="1" applyAlignment="1">
      <alignment horizontal="left" vertical="top" wrapText="1"/>
    </xf>
    <xf numFmtId="0" fontId="48" fillId="9" borderId="16" xfId="3" applyFont="1" applyFill="1" applyBorder="1" applyAlignment="1">
      <alignment horizontal="left" vertical="top" wrapText="1"/>
    </xf>
    <xf numFmtId="0" fontId="48" fillId="9" borderId="18" xfId="3" applyFont="1" applyFill="1" applyBorder="1" applyAlignment="1">
      <alignment horizontal="left" vertical="top" wrapText="1"/>
    </xf>
    <xf numFmtId="0" fontId="48" fillId="9" borderId="5" xfId="3" applyFont="1" applyFill="1" applyBorder="1" applyAlignment="1">
      <alignment horizontal="left" vertical="top" wrapText="1"/>
    </xf>
    <xf numFmtId="0" fontId="48" fillId="9" borderId="9" xfId="3" applyFont="1" applyFill="1" applyBorder="1" applyAlignment="1">
      <alignment horizontal="left" vertical="top" wrapText="1"/>
    </xf>
    <xf numFmtId="0" fontId="48" fillId="9" borderId="10" xfId="3" applyFont="1" applyFill="1" applyBorder="1" applyAlignment="1">
      <alignment horizontal="left" vertical="top" wrapText="1"/>
    </xf>
    <xf numFmtId="0" fontId="48" fillId="9" borderId="3" xfId="3" applyFont="1" applyFill="1" applyBorder="1" applyAlignment="1">
      <alignment horizontal="left" vertical="center" wrapText="1"/>
    </xf>
  </cellXfs>
  <cellStyles count="10">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_Sheet1" xfId="5" xr:uid="{00000000-0005-0000-0000-000005000000}"/>
    <cellStyle name="Percent" xfId="6" builtinId="5"/>
    <cellStyle name="Percent 2" xfId="7" xr:uid="{00000000-0005-0000-0000-000007000000}"/>
    <cellStyle name="Percent 3" xfId="8" xr:uid="{00000000-0005-0000-0000-000008000000}"/>
    <cellStyle name="Percent 4" xfId="9" xr:uid="{00000000-0005-0000-0000-000009000000}"/>
  </cellStyles>
  <dxfs count="835">
    <dxf>
      <font>
        <color theme="0"/>
      </font>
      <fill>
        <patternFill>
          <bgColor rgb="FF3D6864"/>
        </patternFill>
      </fill>
    </dxf>
    <dxf>
      <font>
        <color theme="0"/>
      </font>
      <fill>
        <patternFill>
          <bgColor theme="0"/>
        </patternFill>
      </fill>
      <border>
        <left/>
        <right/>
        <top/>
        <bottom/>
        <vertical/>
        <horizontal/>
      </border>
    </dxf>
    <dxf>
      <font>
        <color theme="1"/>
      </font>
      <fill>
        <patternFill>
          <bgColor theme="0"/>
        </patternFill>
      </fill>
      <border>
        <left style="thin">
          <color indexed="64"/>
        </left>
        <right style="thin">
          <color indexed="64"/>
        </right>
        <top style="thin">
          <color indexed="64"/>
        </top>
        <bottom style="thin">
          <color indexed="64"/>
        </bottom>
      </border>
    </dxf>
    <dxf>
      <font>
        <color theme="1"/>
      </font>
      <fill>
        <patternFill>
          <bgColor theme="0"/>
        </patternFill>
      </fill>
      <border>
        <left style="thin">
          <color indexed="64"/>
        </left>
        <right style="thin">
          <color indexed="64"/>
        </right>
        <top style="thin">
          <color indexed="64"/>
        </top>
        <bottom style="thin">
          <color indexed="64"/>
        </bottom>
      </border>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1"/>
      </font>
      <fill>
        <patternFill>
          <bgColor theme="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b/>
        <i val="0"/>
        <color theme="0"/>
      </font>
      <fill>
        <patternFill>
          <bgColor rgb="FFFF0000"/>
        </patternFill>
      </fill>
    </dxf>
    <dxf>
      <font>
        <color theme="0" tint="-0.499984740745262"/>
      </font>
      <fill>
        <patternFill>
          <bgColor theme="0" tint="-0.499984740745262"/>
        </patternFill>
      </fill>
    </dxf>
    <dxf>
      <font>
        <color theme="1"/>
      </font>
      <fill>
        <patternFill>
          <bgColor theme="0"/>
        </patternFill>
      </fill>
    </dxf>
    <dxf>
      <font>
        <b/>
        <i val="0"/>
        <color theme="0"/>
      </font>
      <fill>
        <patternFill>
          <bgColor rgb="FFFF0000"/>
        </patternFill>
      </fill>
    </dxf>
    <dxf>
      <font>
        <color theme="0" tint="-0.499984740745262"/>
      </font>
      <fill>
        <patternFill>
          <bgColor theme="0" tint="-0.499984740745262"/>
        </patternFill>
      </fill>
    </dxf>
    <dxf>
      <font>
        <color theme="1"/>
      </font>
      <fill>
        <patternFill>
          <bgColor theme="0"/>
        </patternFill>
      </fill>
    </dxf>
    <dxf>
      <font>
        <b/>
        <i val="0"/>
        <color theme="0"/>
      </font>
      <fill>
        <patternFill>
          <bgColor rgb="FFFF0000"/>
        </patternFill>
      </fill>
    </dxf>
    <dxf>
      <font>
        <color auto="1"/>
        <name val="Cambria"/>
        <scheme val="none"/>
      </font>
      <fill>
        <patternFill>
          <bgColor theme="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b/>
        <i val="0"/>
        <color theme="0"/>
      </font>
      <fill>
        <patternFill>
          <bgColor rgb="FFFF000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1"/>
      </font>
      <fill>
        <patternFill>
          <bgColor theme="0"/>
        </patternFill>
      </fill>
    </dxf>
    <dxf>
      <font>
        <b/>
        <i val="0"/>
        <color theme="0"/>
      </font>
      <fill>
        <patternFill>
          <bgColor rgb="FFFF0000"/>
        </patternFill>
      </fill>
    </dxf>
    <dxf>
      <font>
        <color auto="1"/>
      </font>
      <fill>
        <patternFill>
          <bgColor theme="0"/>
        </patternFill>
      </fill>
    </dxf>
    <dxf>
      <font>
        <color theme="0" tint="-0.499984740745262"/>
      </font>
      <fill>
        <patternFill>
          <bgColor theme="0" tint="-0.499984740745262"/>
        </patternFill>
      </fill>
    </dxf>
    <dxf>
      <font>
        <color theme="0" tint="-0.499984740745262"/>
      </font>
      <fill>
        <patternFill>
          <bgColor theme="0" tint="-0.499984740745262"/>
        </patternFill>
      </fill>
    </dxf>
    <dxf>
      <font>
        <b/>
        <i val="0"/>
        <color theme="0"/>
      </font>
      <fill>
        <patternFill>
          <bgColor rgb="FFFF000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1"/>
      </font>
      <fill>
        <patternFill>
          <bgColor theme="0"/>
        </patternFill>
      </fill>
    </dxf>
    <dxf>
      <font>
        <b/>
        <i val="0"/>
        <color theme="0"/>
      </font>
      <fill>
        <patternFill>
          <bgColor rgb="FFFF000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1"/>
      </font>
      <fill>
        <patternFill>
          <bgColor theme="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ndense val="0"/>
        <extend val="0"/>
        <color indexed="23"/>
      </font>
      <fill>
        <patternFill>
          <bgColor indexed="23"/>
        </patternFill>
      </fill>
    </dxf>
    <dxf>
      <font>
        <condense val="0"/>
        <extend val="0"/>
        <color indexed="23"/>
      </font>
      <fill>
        <patternFill>
          <bgColor indexed="23"/>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b/>
        <i val="0"/>
        <color theme="0"/>
      </font>
      <fill>
        <patternFill>
          <bgColor rgb="FFFF0000"/>
        </patternFill>
      </fill>
    </dxf>
    <dxf>
      <font>
        <color auto="1"/>
      </font>
      <fill>
        <patternFill>
          <bgColor theme="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b/>
        <i val="0"/>
        <color theme="0"/>
      </font>
      <fill>
        <patternFill>
          <bgColor rgb="FFFF0000"/>
        </patternFill>
      </fill>
    </dxf>
    <dxf>
      <font>
        <b val="0"/>
        <i val="0"/>
        <strike val="0"/>
        <color auto="1"/>
        <name val="Cambria"/>
        <scheme val="none"/>
      </font>
      <fill>
        <patternFill>
          <bgColor theme="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ndense val="0"/>
        <extend val="0"/>
        <color indexed="23"/>
      </font>
      <fill>
        <patternFill>
          <bgColor indexed="23"/>
        </patternFill>
      </fill>
    </dxf>
    <dxf>
      <font>
        <color theme="0" tint="-0.499984740745262"/>
      </font>
      <fill>
        <patternFill>
          <bgColor theme="0" tint="-0.499984740745262"/>
        </patternFill>
      </fill>
    </dxf>
    <dxf>
      <font>
        <color theme="0" tint="-0.499984740745262"/>
      </font>
      <fill>
        <patternFill>
          <bgColor theme="0" tint="-0.499984740745262"/>
        </patternFill>
      </fill>
    </dxf>
    <dxf>
      <font>
        <condense val="0"/>
        <extend val="0"/>
        <color indexed="23"/>
      </font>
      <fill>
        <patternFill>
          <bgColor indexed="23"/>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lor theme="0" tint="-0.499984740745262"/>
      </font>
      <fill>
        <patternFill>
          <bgColor theme="0" tint="-0.499984740745262"/>
        </patternFill>
      </fill>
    </dxf>
    <dxf>
      <font>
        <color theme="0" tint="-0.499984740745262"/>
      </font>
      <fill>
        <patternFill>
          <bgColor theme="0" tint="-0.499984740745262"/>
        </patternFill>
      </fill>
    </dxf>
    <dxf>
      <font>
        <condense val="0"/>
        <extend val="0"/>
        <color indexed="23"/>
      </font>
      <fill>
        <patternFill>
          <bgColor indexed="23"/>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ndense val="0"/>
        <extend val="0"/>
        <color indexed="23"/>
      </font>
      <fill>
        <patternFill>
          <bgColor indexed="23"/>
        </patternFill>
      </fill>
    </dxf>
    <dxf>
      <font>
        <condense val="0"/>
        <extend val="0"/>
        <color indexed="23"/>
      </font>
      <fill>
        <patternFill>
          <bgColor indexed="23"/>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ndense val="0"/>
        <extend val="0"/>
        <color indexed="23"/>
      </font>
      <fill>
        <patternFill>
          <bgColor indexed="23"/>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dxf>
    <dxf>
      <font>
        <color theme="0" tint="-0.499984740745262"/>
      </font>
      <fill>
        <patternFill>
          <bgColor theme="0" tint="-0.499984740745262"/>
        </patternFill>
      </fill>
    </dxf>
    <dxf>
      <font>
        <color theme="1" tint="0.499984740745262"/>
      </font>
      <fill>
        <patternFill>
          <bgColor theme="1" tint="0.499984740745262"/>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lor theme="0" tint="-0.499984740745262"/>
      </font>
      <fill>
        <patternFill>
          <bgColor theme="0" tint="-0.499984740745262"/>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auto="1"/>
      </font>
      <fill>
        <patternFill>
          <bgColor theme="0"/>
        </patternFill>
      </fill>
      <border>
        <left style="thin">
          <color indexed="64"/>
        </left>
        <right style="thin">
          <color indexed="64"/>
        </right>
        <top style="thin">
          <color indexed="64"/>
        </top>
        <bottom style="thin">
          <color indexed="64"/>
        </bottom>
      </border>
    </dxf>
    <dxf>
      <font>
        <b/>
        <i val="0"/>
        <color theme="0"/>
      </font>
      <fill>
        <patternFill>
          <bgColor rgb="FFFF0000"/>
        </patternFill>
      </fill>
      <border>
        <left style="thin">
          <color indexed="64"/>
        </left>
        <right style="thin">
          <color indexed="64"/>
        </right>
        <top style="thin">
          <color indexed="64"/>
        </top>
        <bottom style="thin">
          <color indexed="64"/>
        </bottom>
      </border>
    </dxf>
    <dxf>
      <font>
        <color auto="1"/>
      </font>
      <fill>
        <patternFill>
          <bgColor theme="0" tint="-0.14996795556505021"/>
        </patternFill>
      </fill>
      <border>
        <left style="thin">
          <color indexed="64"/>
        </left>
        <top style="thin">
          <color indexed="64"/>
        </top>
        <bottom style="thin">
          <color indexed="64"/>
        </bottom>
      </border>
    </dxf>
    <dxf>
      <font>
        <color auto="1"/>
      </font>
      <fill>
        <patternFill>
          <bgColor theme="0" tint="-0.14996795556505021"/>
        </patternFill>
      </fill>
      <border>
        <top style="thin">
          <color indexed="64"/>
        </top>
        <bottom style="thin">
          <color indexed="64"/>
        </bottom>
      </border>
    </dxf>
    <dxf>
      <font>
        <color auto="1"/>
      </font>
      <fill>
        <patternFill>
          <bgColor theme="0" tint="-0.14996795556505021"/>
        </patternFill>
      </fill>
      <border>
        <right style="thin">
          <color indexed="64"/>
        </right>
        <top style="thin">
          <color indexed="64"/>
        </top>
        <bottom style="thin">
          <color indexed="64"/>
        </bottom>
      </border>
    </dxf>
    <dxf>
      <font>
        <color theme="0" tint="-4.9989318521683403E-2"/>
      </font>
      <fill>
        <patternFill>
          <bgColor theme="0"/>
        </patternFill>
      </fill>
      <border>
        <left/>
        <right/>
        <top style="thin">
          <color indexed="64"/>
        </top>
        <bottom style="thin">
          <color indexed="64"/>
        </bottom>
      </border>
    </dxf>
    <dxf>
      <font>
        <color theme="0"/>
      </font>
      <fill>
        <patternFill>
          <bgColor theme="0"/>
        </patternFill>
      </fill>
      <border>
        <left/>
        <right/>
        <top style="thin">
          <color indexed="64"/>
        </top>
        <bottom style="thin">
          <color indexed="64"/>
        </bottom>
      </border>
    </dxf>
    <dxf>
      <font>
        <b/>
        <i val="0"/>
        <color theme="0"/>
      </font>
      <fill>
        <patternFill>
          <bgColor rgb="FFFF0000"/>
        </patternFill>
      </fill>
    </dxf>
    <dxf>
      <font>
        <color auto="1"/>
      </font>
      <fill>
        <patternFill>
          <bgColor theme="0"/>
        </patternFill>
      </fill>
    </dxf>
    <dxf>
      <fill>
        <patternFill>
          <bgColor theme="0"/>
        </patternFill>
      </fill>
    </dxf>
    <dxf>
      <font>
        <b/>
        <i val="0"/>
        <color theme="0"/>
      </font>
      <fill>
        <patternFill>
          <bgColor rgb="FFFF000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ndense val="0"/>
        <extend val="0"/>
        <color indexed="23"/>
      </font>
      <fill>
        <patternFill>
          <bgColor indexed="23"/>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ndense val="0"/>
        <extend val="0"/>
        <color indexed="23"/>
      </font>
      <fill>
        <patternFill>
          <bgColor indexed="23"/>
        </patternFill>
      </fill>
    </dxf>
    <dxf>
      <font>
        <condense val="0"/>
        <extend val="0"/>
        <color indexed="23"/>
      </font>
      <fill>
        <patternFill>
          <bgColor indexed="23"/>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ndense val="0"/>
        <extend val="0"/>
        <color indexed="23"/>
      </font>
      <fill>
        <patternFill>
          <bgColor indexed="23"/>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ndense val="0"/>
        <extend val="0"/>
        <color indexed="23"/>
      </font>
      <fill>
        <patternFill>
          <bgColor indexed="23"/>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dxf>
    <dxf>
      <font>
        <color theme="0" tint="-0.499984740745262"/>
      </font>
      <fill>
        <patternFill>
          <bgColor theme="0" tint="-0.499984740745262"/>
        </patternFill>
      </fill>
    </dxf>
    <dxf>
      <font>
        <color theme="0" tint="-0.499984740745262"/>
      </font>
      <fill>
        <patternFill>
          <bgColor theme="0" tint="-0.499984740745262"/>
        </patternFill>
      </fill>
    </dxf>
    <dxf>
      <font>
        <b/>
        <i val="0"/>
        <color theme="0"/>
      </font>
      <fill>
        <patternFill>
          <bgColor rgb="FFFF0000"/>
        </patternFill>
      </fill>
    </dxf>
    <dxf>
      <font>
        <color auto="1"/>
        <name val="Cambria"/>
        <scheme val="none"/>
      </font>
      <fill>
        <patternFill>
          <bgColor theme="0"/>
        </patternFill>
      </fill>
    </dxf>
    <dxf>
      <font>
        <b/>
        <i val="0"/>
        <color theme="0"/>
      </font>
      <fill>
        <patternFill>
          <bgColor rgb="FFFF0000"/>
        </patternFill>
      </fill>
    </dxf>
    <dxf>
      <font>
        <color auto="1"/>
        <name val="Cambria"/>
        <scheme val="none"/>
      </font>
      <fill>
        <patternFill>
          <bgColor theme="0"/>
        </patternFill>
      </fill>
    </dxf>
    <dxf>
      <font>
        <b/>
        <i val="0"/>
        <color theme="0"/>
      </font>
      <fill>
        <patternFill>
          <bgColor rgb="FFFF0000"/>
        </patternFill>
      </fill>
    </dxf>
    <dxf>
      <font>
        <color auto="1"/>
        <name val="Cambria"/>
        <scheme val="none"/>
      </font>
      <fill>
        <patternFill>
          <bgColor theme="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1" tint="0.499984740745262"/>
      </font>
      <fill>
        <patternFill>
          <bgColor theme="1" tint="0.499984740745262"/>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lor theme="0" tint="-0.499984740745262"/>
      </font>
      <fill>
        <patternFill>
          <bgColor theme="0" tint="-0.499984740745262"/>
        </patternFill>
      </fill>
    </dxf>
    <dxf>
      <font>
        <condense val="0"/>
        <extend val="0"/>
        <color indexed="23"/>
      </font>
      <fill>
        <patternFill>
          <bgColor indexed="23"/>
        </patternFill>
      </fill>
    </dxf>
    <dxf>
      <font>
        <color theme="0" tint="-0.499984740745262"/>
      </font>
      <fill>
        <patternFill>
          <bgColor theme="0" tint="-0.499984740745262"/>
        </patternFill>
      </fill>
    </dxf>
    <dxf>
      <font>
        <color theme="0" tint="-0.499984740745262"/>
      </font>
      <fill>
        <patternFill>
          <bgColor theme="0" tint="-0.499984740745262"/>
        </patternFill>
      </fill>
    </dxf>
    <dxf>
      <font>
        <condense val="0"/>
        <extend val="0"/>
        <color indexed="23"/>
      </font>
      <fill>
        <patternFill>
          <bgColor indexed="23"/>
        </patternFill>
      </fill>
    </dxf>
    <dxf>
      <font>
        <color theme="0" tint="-0.499984740745262"/>
      </font>
      <fill>
        <patternFill>
          <bgColor theme="0" tint="-0.499984740745262"/>
        </patternFill>
      </fill>
    </dxf>
    <dxf>
      <font>
        <b/>
        <i val="0"/>
        <color rgb="FFFF0000"/>
      </font>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b/>
        <i val="0"/>
        <color theme="0"/>
      </font>
      <fill>
        <patternFill>
          <bgColor rgb="FFFF0000"/>
        </patternFill>
      </fill>
    </dxf>
    <dxf>
      <font>
        <color theme="1"/>
      </font>
      <fill>
        <patternFill>
          <bgColor theme="0"/>
        </patternFill>
      </fill>
    </dxf>
    <dxf>
      <font>
        <b/>
        <i val="0"/>
        <color theme="0"/>
      </font>
      <fill>
        <patternFill>
          <bgColor rgb="FFFF0000"/>
        </patternFill>
      </fill>
    </dxf>
    <dxf>
      <font>
        <color theme="1"/>
      </font>
      <fill>
        <patternFill>
          <bgColor theme="0"/>
        </patternFill>
      </fill>
    </dxf>
    <dxf>
      <font>
        <b/>
        <i val="0"/>
        <color theme="0"/>
      </font>
      <fill>
        <patternFill>
          <bgColor rgb="FFFF0000"/>
        </patternFill>
      </fill>
    </dxf>
    <dxf>
      <font>
        <color theme="1"/>
      </font>
      <fill>
        <patternFill>
          <bgColor theme="0"/>
        </patternFill>
      </fill>
    </dxf>
    <dxf>
      <font>
        <b/>
        <i val="0"/>
        <color theme="0"/>
      </font>
      <fill>
        <patternFill>
          <bgColor rgb="FFFF0000"/>
        </patternFill>
      </fill>
    </dxf>
    <dxf>
      <font>
        <color auto="1"/>
      </font>
      <fill>
        <patternFill>
          <bgColor theme="0"/>
        </patternFill>
      </fill>
    </dxf>
    <dxf>
      <font>
        <b/>
        <i val="0"/>
        <color theme="0"/>
      </font>
      <fill>
        <patternFill>
          <bgColor rgb="FFFF0000"/>
        </patternFill>
      </fill>
    </dxf>
    <dxf>
      <font>
        <color theme="1"/>
      </font>
      <fill>
        <patternFill>
          <bgColor theme="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b/>
        <i val="0"/>
        <color theme="0"/>
      </font>
      <fill>
        <patternFill>
          <bgColor rgb="FFFF0000"/>
        </patternFill>
      </fill>
    </dxf>
    <dxf>
      <font>
        <color auto="1"/>
        <name val="Cambria"/>
        <scheme val="none"/>
      </font>
      <fill>
        <patternFill>
          <bgColor theme="0"/>
        </patternFill>
      </fill>
    </dxf>
    <dxf>
      <font>
        <color theme="0" tint="-0.499984740745262"/>
      </font>
      <fill>
        <patternFill>
          <bgColor theme="0" tint="-0.499984740745262"/>
        </patternFill>
      </fill>
    </dxf>
    <dxf>
      <font>
        <b/>
        <i val="0"/>
        <color theme="0"/>
      </font>
      <fill>
        <patternFill>
          <bgColor rgb="FFFF0000"/>
        </patternFill>
      </fill>
    </dxf>
    <dxf>
      <font>
        <b val="0"/>
        <i val="0"/>
        <strike val="0"/>
        <color auto="1"/>
        <name val="Cambria"/>
        <scheme val="none"/>
      </font>
      <fill>
        <patternFill>
          <bgColor theme="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ndense val="0"/>
        <extend val="0"/>
        <color indexed="23"/>
      </font>
      <fill>
        <patternFill>
          <bgColor indexed="23"/>
        </patternFill>
      </fill>
    </dxf>
    <dxf>
      <font>
        <color theme="0" tint="-0.499984740745262"/>
      </font>
      <fill>
        <patternFill>
          <bgColor theme="0" tint="-0.499984740745262"/>
        </patternFill>
      </fill>
    </dxf>
    <dxf>
      <font>
        <color theme="0" tint="-0.499984740745262"/>
      </font>
      <fill>
        <patternFill>
          <bgColor theme="0" tint="-0.499984740745262"/>
        </patternFill>
      </fill>
    </dxf>
    <dxf>
      <font>
        <condense val="0"/>
        <extend val="0"/>
        <color indexed="23"/>
      </font>
      <fill>
        <patternFill>
          <bgColor indexed="23"/>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lor theme="0" tint="-0.499984740745262"/>
      </font>
      <fill>
        <patternFill>
          <bgColor theme="0" tint="-0.499984740745262"/>
        </patternFill>
      </fill>
    </dxf>
    <dxf>
      <font>
        <color theme="0" tint="-0.499984740745262"/>
      </font>
      <fill>
        <patternFill>
          <bgColor theme="0" tint="-0.499984740745262"/>
        </patternFill>
      </fill>
    </dxf>
    <dxf>
      <font>
        <condense val="0"/>
        <extend val="0"/>
        <color indexed="23"/>
      </font>
      <fill>
        <patternFill>
          <bgColor indexed="23"/>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ndense val="0"/>
        <extend val="0"/>
        <color indexed="23"/>
      </font>
      <fill>
        <patternFill>
          <bgColor indexed="23"/>
        </patternFill>
      </fill>
    </dxf>
    <dxf>
      <font>
        <condense val="0"/>
        <extend val="0"/>
        <color indexed="23"/>
      </font>
      <fill>
        <patternFill>
          <bgColor indexed="23"/>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ndense val="0"/>
        <extend val="0"/>
        <color indexed="23"/>
      </font>
      <fill>
        <patternFill>
          <bgColor indexed="23"/>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dxf>
    <dxf>
      <font>
        <color theme="0" tint="-0.499984740745262"/>
      </font>
      <fill>
        <patternFill>
          <bgColor theme="0" tint="-0.499984740745262"/>
        </patternFill>
      </fill>
    </dxf>
    <dxf>
      <font>
        <color theme="1" tint="0.499984740745262"/>
      </font>
      <fill>
        <patternFill>
          <bgColor theme="1" tint="0.499984740745262"/>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b/>
        <i val="0"/>
        <color theme="0"/>
      </font>
      <fill>
        <patternFill>
          <bgColor rgb="FFFF0000"/>
        </patternFill>
      </fill>
    </dxf>
    <dxf>
      <font>
        <color auto="1"/>
        <name val="Cambria"/>
        <scheme val="none"/>
      </font>
      <fill>
        <patternFill>
          <bgColor theme="0"/>
        </patternFill>
      </fill>
    </dxf>
    <dxf>
      <font>
        <b/>
        <i val="0"/>
        <color theme="0"/>
      </font>
      <fill>
        <patternFill>
          <bgColor rgb="FFFF0000"/>
        </patternFill>
      </fill>
    </dxf>
    <dxf>
      <font>
        <color auto="1"/>
        <name val="Cambria"/>
        <scheme val="none"/>
      </font>
      <fill>
        <patternFill>
          <bgColor theme="0"/>
        </patternFill>
      </fill>
    </dxf>
    <dxf>
      <font>
        <b/>
        <i val="0"/>
        <color theme="0"/>
      </font>
      <fill>
        <patternFill>
          <bgColor rgb="FFFF0000"/>
        </patternFill>
      </fill>
    </dxf>
    <dxf>
      <font>
        <color auto="1"/>
        <name val="Cambria"/>
        <scheme val="none"/>
      </font>
      <fill>
        <patternFill>
          <bgColor theme="0"/>
        </patternFill>
      </fill>
    </dxf>
    <dxf>
      <font>
        <color theme="0" tint="-0.499984740745262"/>
      </font>
      <fill>
        <patternFill>
          <bgColor theme="0" tint="-0.499984740745262"/>
        </patternFill>
      </fill>
    </dxf>
    <dxf>
      <font>
        <condense val="0"/>
        <extend val="0"/>
        <color indexed="23"/>
      </font>
      <fill>
        <patternFill>
          <bgColor indexed="23"/>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ndense val="0"/>
        <extend val="0"/>
        <color indexed="23"/>
      </font>
      <fill>
        <patternFill>
          <bgColor indexed="23"/>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ndense val="0"/>
        <extend val="0"/>
        <color indexed="23"/>
      </font>
      <fill>
        <patternFill>
          <bgColor indexed="23"/>
        </patternFill>
      </fill>
    </dxf>
    <dxf>
      <font>
        <condense val="0"/>
        <extend val="0"/>
        <color indexed="23"/>
      </font>
      <fill>
        <patternFill>
          <bgColor indexed="23"/>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ndense val="0"/>
        <extend val="0"/>
        <color indexed="23"/>
      </font>
      <fill>
        <patternFill>
          <bgColor indexed="23"/>
        </patternFill>
      </fill>
    </dxf>
    <dxf>
      <font>
        <color theme="0" tint="-0.499984740745262"/>
      </font>
      <fill>
        <patternFill>
          <bgColor theme="0" tint="-0.499984740745262"/>
        </patternFill>
      </fill>
    </dxf>
    <dxf>
      <font>
        <color theme="0" tint="-0.499984740745262"/>
      </font>
      <fill>
        <patternFill>
          <bgColor theme="0" tint="-0.499984740745262"/>
        </patternFill>
      </fill>
    </dxf>
    <dxf>
      <font>
        <condense val="0"/>
        <extend val="0"/>
        <color indexed="23"/>
      </font>
      <fill>
        <patternFill>
          <bgColor indexed="23"/>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1" tint="0.499984740745262"/>
      </font>
      <fill>
        <patternFill>
          <bgColor theme="1" tint="0.499984740745262"/>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lor theme="0" tint="-0.499984740745262"/>
      </font>
      <fill>
        <patternFill>
          <bgColor theme="0" tint="-0.499984740745262"/>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s>
  <tableStyles count="0" defaultTableStyle="TableStyleMedium9" defaultPivotStyle="PivotStyleLight16"/>
  <colors>
    <mruColors>
      <color rgb="FF3D68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breeam.org/"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breeam.org/"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breeam.org/"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breeam.org/"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breeam.org/"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breeam.org/"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breeam.org/"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breeam.org/" TargetMode="External"/></Relationships>
</file>

<file path=xl/drawings/drawing1.xml><?xml version="1.0" encoding="utf-8"?>
<xdr:wsDr xmlns:xdr="http://schemas.openxmlformats.org/drawingml/2006/spreadsheetDrawing" xmlns:a="http://schemas.openxmlformats.org/drawingml/2006/main">
  <xdr:twoCellAnchor>
    <xdr:from>
      <xdr:col>8</xdr:col>
      <xdr:colOff>981808</xdr:colOff>
      <xdr:row>0</xdr:row>
      <xdr:rowOff>158668</xdr:rowOff>
    </xdr:from>
    <xdr:to>
      <xdr:col>11</xdr:col>
      <xdr:colOff>19050</xdr:colOff>
      <xdr:row>2</xdr:row>
      <xdr:rowOff>9525</xdr:rowOff>
    </xdr:to>
    <xdr:pic>
      <xdr:nvPicPr>
        <xdr:cNvPr id="24796" name="Picture 2" descr="Breeam_logo">
          <a:hlinkClick xmlns:r="http://schemas.openxmlformats.org/officeDocument/2006/relationships" r:id="rId1"/>
          <a:extLst>
            <a:ext uri="{FF2B5EF4-FFF2-40B4-BE49-F238E27FC236}">
              <a16:creationId xmlns:a16="http://schemas.microsoft.com/office/drawing/2014/main" id="{00000000-0008-0000-0000-0000DC6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01808" y="158668"/>
          <a:ext cx="2180492" cy="4663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1620371</xdr:colOff>
      <xdr:row>1</xdr:row>
      <xdr:rowOff>0</xdr:rowOff>
    </xdr:from>
    <xdr:to>
      <xdr:col>6</xdr:col>
      <xdr:colOff>1915646</xdr:colOff>
      <xdr:row>2</xdr:row>
      <xdr:rowOff>9525</xdr:rowOff>
    </xdr:to>
    <xdr:pic>
      <xdr:nvPicPr>
        <xdr:cNvPr id="29794" name="Picture 2" descr="Breeam_logo">
          <a:hlinkClick xmlns:r="http://schemas.openxmlformats.org/officeDocument/2006/relationships" r:id="rId1"/>
          <a:extLst>
            <a:ext uri="{FF2B5EF4-FFF2-40B4-BE49-F238E27FC236}">
              <a16:creationId xmlns:a16="http://schemas.microsoft.com/office/drawing/2014/main" id="{00000000-0008-0000-0600-00006274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069606" y="156882"/>
          <a:ext cx="2211481" cy="468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1701614</xdr:colOff>
      <xdr:row>1</xdr:row>
      <xdr:rowOff>0</xdr:rowOff>
    </xdr:from>
    <xdr:to>
      <xdr:col>7</xdr:col>
      <xdr:colOff>14008</xdr:colOff>
      <xdr:row>2</xdr:row>
      <xdr:rowOff>9525</xdr:rowOff>
    </xdr:to>
    <xdr:pic>
      <xdr:nvPicPr>
        <xdr:cNvPr id="22865" name="Picture 2" descr="Breeam_logo">
          <a:hlinkClick xmlns:r="http://schemas.openxmlformats.org/officeDocument/2006/relationships" r:id="rId1"/>
          <a:extLst>
            <a:ext uri="{FF2B5EF4-FFF2-40B4-BE49-F238E27FC236}">
              <a16:creationId xmlns:a16="http://schemas.microsoft.com/office/drawing/2014/main" id="{00000000-0008-0000-0700-00005159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249026" y="156882"/>
          <a:ext cx="2144806" cy="468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1866900</xdr:colOff>
      <xdr:row>0</xdr:row>
      <xdr:rowOff>152400</xdr:rowOff>
    </xdr:from>
    <xdr:to>
      <xdr:col>7</xdr:col>
      <xdr:colOff>123825</xdr:colOff>
      <xdr:row>1</xdr:row>
      <xdr:rowOff>447675</xdr:rowOff>
    </xdr:to>
    <xdr:pic>
      <xdr:nvPicPr>
        <xdr:cNvPr id="18954" name="Picture 2" descr="Breeam_logo">
          <a:hlinkClick xmlns:r="http://schemas.openxmlformats.org/officeDocument/2006/relationships" r:id="rId1"/>
          <a:extLst>
            <a:ext uri="{FF2B5EF4-FFF2-40B4-BE49-F238E27FC236}">
              <a16:creationId xmlns:a16="http://schemas.microsoft.com/office/drawing/2014/main" id="{00000000-0008-0000-0800-00000A4A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10825" y="152400"/>
          <a:ext cx="20859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1685925</xdr:colOff>
      <xdr:row>1</xdr:row>
      <xdr:rowOff>0</xdr:rowOff>
    </xdr:from>
    <xdr:to>
      <xdr:col>7</xdr:col>
      <xdr:colOff>0</xdr:colOff>
      <xdr:row>2</xdr:row>
      <xdr:rowOff>0</xdr:rowOff>
    </xdr:to>
    <xdr:pic>
      <xdr:nvPicPr>
        <xdr:cNvPr id="20184" name="Picture 2" descr="Breeam_logo">
          <a:hlinkClick xmlns:r="http://schemas.openxmlformats.org/officeDocument/2006/relationships" r:id="rId1"/>
          <a:extLst>
            <a:ext uri="{FF2B5EF4-FFF2-40B4-BE49-F238E27FC236}">
              <a16:creationId xmlns:a16="http://schemas.microsoft.com/office/drawing/2014/main" id="{00000000-0008-0000-0900-0000D84E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229975" y="161925"/>
          <a:ext cx="21431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12</xdr:col>
      <xdr:colOff>1001417</xdr:colOff>
      <xdr:row>1</xdr:row>
      <xdr:rowOff>0</xdr:rowOff>
    </xdr:from>
    <xdr:to>
      <xdr:col>15</xdr:col>
      <xdr:colOff>3002</xdr:colOff>
      <xdr:row>2</xdr:row>
      <xdr:rowOff>0</xdr:rowOff>
    </xdr:to>
    <xdr:pic>
      <xdr:nvPicPr>
        <xdr:cNvPr id="29039" name="Picture 2" descr="Breeam_logo">
          <a:hlinkClick xmlns:r="http://schemas.openxmlformats.org/officeDocument/2006/relationships" r:id="rId1"/>
          <a:extLst>
            <a:ext uri="{FF2B5EF4-FFF2-40B4-BE49-F238E27FC236}">
              <a16:creationId xmlns:a16="http://schemas.microsoft.com/office/drawing/2014/main" id="{00000000-0008-0000-0B00-00006F71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638417" y="195385"/>
          <a:ext cx="2225431" cy="459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314325</xdr:colOff>
      <xdr:row>1</xdr:row>
      <xdr:rowOff>0</xdr:rowOff>
    </xdr:from>
    <xdr:to>
      <xdr:col>8</xdr:col>
      <xdr:colOff>19050</xdr:colOff>
      <xdr:row>2</xdr:row>
      <xdr:rowOff>0</xdr:rowOff>
    </xdr:to>
    <xdr:pic>
      <xdr:nvPicPr>
        <xdr:cNvPr id="26747" name="Picture 2" descr="Breeam_logo">
          <a:hlinkClick xmlns:r="http://schemas.openxmlformats.org/officeDocument/2006/relationships" r:id="rId1"/>
          <a:extLst>
            <a:ext uri="{FF2B5EF4-FFF2-40B4-BE49-F238E27FC236}">
              <a16:creationId xmlns:a16="http://schemas.microsoft.com/office/drawing/2014/main" id="{00000000-0008-0000-0C00-00007B68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05750" y="161925"/>
          <a:ext cx="20002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76200</xdr:colOff>
      <xdr:row>1</xdr:row>
      <xdr:rowOff>0</xdr:rowOff>
    </xdr:from>
    <xdr:to>
      <xdr:col>14</xdr:col>
      <xdr:colOff>9525</xdr:colOff>
      <xdr:row>2</xdr:row>
      <xdr:rowOff>0</xdr:rowOff>
    </xdr:to>
    <xdr:pic>
      <xdr:nvPicPr>
        <xdr:cNvPr id="27751" name="Picture 2" descr="Breeam_logo">
          <a:hlinkClick xmlns:r="http://schemas.openxmlformats.org/officeDocument/2006/relationships" r:id="rId1"/>
          <a:extLst>
            <a:ext uri="{FF2B5EF4-FFF2-40B4-BE49-F238E27FC236}">
              <a16:creationId xmlns:a16="http://schemas.microsoft.com/office/drawing/2014/main" id="{00000000-0008-0000-0D00-0000676C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34250" y="161925"/>
          <a:ext cx="18097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alley\bre\Documents%20and%20Settings\BevanT\My%20Documents\BREEAM%20%202011%20documents\BREEAM_2011_Mat01_calculator_FINAL_v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alley\bre\Documents%20and%20Settings\BevanT\My%20Documents\BREEAM%20%202011%20documents\Latest%20docs%20for%20V%20drive%20upload\BREEAM_2011_Mat03_calculator_v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alley\bre\Users\FAULKN~1\AppData\Local\Temp\BREEAM_2011_Wat01_calculator_v1.3%20draft%202nd%20release_v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alley\bre\Documents%20and%20Settings\BevanT\My%20Documents\BREEAM%20%202011%20documents\BREEAM_2011_LE4_LE5_calculator_FINAL_v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alley\bre\BRE%20Global\Sustainability\8%20Projects\BREEAM%202011\4%20Systems\BREEAM%202011%20Calculator%20Tools\Beta\LE04_LE05\LE4_and_LE5_calculator_2011_rev01be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1 Calculator"/>
      <sheetName val="Schedule of changes"/>
    </sheetNames>
    <sheetDataSet>
      <sheetData sheetId="0">
        <row r="20">
          <cell r="AF20">
            <v>1</v>
          </cell>
        </row>
        <row r="21">
          <cell r="AH21" t="e">
            <v>#N/A</v>
          </cell>
          <cell r="AI21" t="e">
            <v>#N/A</v>
          </cell>
        </row>
        <row r="37">
          <cell r="AA37" t="e">
            <v>#N/A</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3"/>
      <sheetName val="Schedule of changes"/>
    </sheetNames>
    <sheetDataSet>
      <sheetData sheetId="0">
        <row r="28">
          <cell r="R28">
            <v>1</v>
          </cell>
        </row>
        <row r="89">
          <cell r="R89">
            <v>1</v>
          </cell>
        </row>
        <row r="150">
          <cell r="R150">
            <v>1</v>
          </cell>
        </row>
        <row r="211">
          <cell r="R211">
            <v>1</v>
          </cell>
        </row>
        <row r="272">
          <cell r="R272">
            <v>1</v>
          </cell>
        </row>
        <row r="333">
          <cell r="R333">
            <v>1</v>
          </cell>
        </row>
        <row r="394">
          <cell r="R394">
            <v>1</v>
          </cell>
        </row>
        <row r="455">
          <cell r="R455">
            <v>1</v>
          </cell>
        </row>
        <row r="516">
          <cell r="R516">
            <v>1</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Instructions"/>
      <sheetName val="NCM act and schedules"/>
      <sheetName val="Activity database"/>
      <sheetName val="Restaurant and cafes calculator"/>
      <sheetName val="Cinema and Theatres"/>
      <sheetName val="Leisure centres"/>
      <sheetName val="Residential calculator"/>
      <sheetName val="Office calculator"/>
      <sheetName val="Retail calculator"/>
      <sheetName val="Industrial calculator"/>
      <sheetName val="Education calculator"/>
      <sheetName val="Other building type calculator"/>
      <sheetName val="Average flow rate calculator"/>
      <sheetName val="Schedule of changes"/>
    </sheetNames>
    <sheetDataSet>
      <sheetData sheetId="0"/>
      <sheetData sheetId="1"/>
      <sheetData sheetId="2"/>
      <sheetData sheetId="3"/>
      <sheetData sheetId="4"/>
      <sheetData sheetId="5"/>
      <sheetData sheetId="6"/>
      <sheetData sheetId="7"/>
      <sheetData sheetId="8"/>
      <sheetData sheetId="9">
        <row r="11">
          <cell r="B11" t="str">
            <v>Please select</v>
          </cell>
        </row>
      </sheetData>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03 Ecology Calculator 1"/>
      <sheetName val="LE03&amp;LE04 Ecology Calculator 2"/>
      <sheetName val="Schedule of changes"/>
    </sheetNames>
    <sheetDataSet>
      <sheetData sheetId="0"/>
      <sheetData sheetId="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03 Ecology Calculator 1"/>
      <sheetName val="LE03&amp;LE04 Ecology Calculator 2"/>
      <sheetName val="Schedule of changes"/>
    </sheetNames>
    <sheetDataSet>
      <sheetData sheetId="0"/>
      <sheetData sheetId="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AO10"/>
  <sheetViews>
    <sheetView tabSelected="1" zoomScale="80" zoomScaleNormal="80" workbookViewId="0">
      <pane ySplit="2" topLeftCell="A3" activePane="bottomLeft" state="frozen"/>
      <selection activeCell="B11" sqref="B11"/>
      <selection pane="bottomLeft" activeCell="B3" sqref="B3"/>
    </sheetView>
  </sheetViews>
  <sheetFormatPr defaultColWidth="9.140625" defaultRowHeight="12.75" x14ac:dyDescent="0.2"/>
  <cols>
    <col min="1" max="1" width="4.28515625" style="394" customWidth="1"/>
    <col min="2" max="11" width="15.7109375" style="394" customWidth="1"/>
    <col min="12" max="16384" width="9.140625" style="394"/>
  </cols>
  <sheetData>
    <row r="2" spans="2:41" s="144" customFormat="1" ht="36" customHeight="1" x14ac:dyDescent="0.2">
      <c r="B2" s="505" t="s">
        <v>1018</v>
      </c>
      <c r="C2" s="505"/>
      <c r="D2" s="505"/>
      <c r="E2" s="505"/>
      <c r="F2" s="505"/>
      <c r="G2" s="505"/>
      <c r="H2" s="505"/>
      <c r="I2" s="505"/>
      <c r="J2" s="505"/>
      <c r="K2" s="505"/>
      <c r="AD2" s="146"/>
      <c r="AO2" s="147"/>
    </row>
    <row r="3" spans="2:41" s="144" customFormat="1" ht="15" customHeight="1" x14ac:dyDescent="0.2">
      <c r="B3" s="478"/>
      <c r="C3" s="478"/>
      <c r="D3" s="478"/>
      <c r="E3" s="478"/>
      <c r="F3" s="478"/>
      <c r="G3" s="478"/>
      <c r="H3" s="478"/>
      <c r="I3" s="478"/>
      <c r="J3" s="478"/>
      <c r="K3" s="478"/>
      <c r="AD3" s="146"/>
      <c r="AO3" s="147"/>
    </row>
    <row r="4" spans="2:41" ht="213" customHeight="1" x14ac:dyDescent="0.2">
      <c r="B4" s="589" t="s">
        <v>1005</v>
      </c>
      <c r="C4" s="590"/>
      <c r="D4" s="590"/>
      <c r="E4" s="590"/>
      <c r="F4" s="590"/>
      <c r="G4" s="590"/>
      <c r="H4" s="590"/>
      <c r="I4" s="590"/>
      <c r="J4" s="590"/>
      <c r="K4" s="591"/>
    </row>
    <row r="5" spans="2:41" ht="321" customHeight="1" x14ac:dyDescent="0.2">
      <c r="B5" s="592" t="s">
        <v>1000</v>
      </c>
      <c r="C5" s="593"/>
      <c r="D5" s="593"/>
      <c r="E5" s="593"/>
      <c r="F5" s="593"/>
      <c r="G5" s="593"/>
      <c r="H5" s="593"/>
      <c r="I5" s="593"/>
      <c r="J5" s="593"/>
      <c r="K5" s="594"/>
    </row>
    <row r="6" spans="2:41" ht="15" customHeight="1" x14ac:dyDescent="0.2">
      <c r="B6" s="479"/>
      <c r="C6" s="480"/>
      <c r="D6" s="480"/>
      <c r="E6" s="480"/>
      <c r="F6" s="480"/>
      <c r="G6" s="480"/>
      <c r="H6" s="480"/>
      <c r="I6" s="480"/>
      <c r="J6" s="480"/>
      <c r="K6" s="480"/>
    </row>
    <row r="7" spans="2:41" ht="15" customHeight="1" x14ac:dyDescent="0.2">
      <c r="B7" s="479"/>
      <c r="C7" s="481"/>
      <c r="D7" s="481"/>
      <c r="E7" s="481"/>
      <c r="F7" s="481"/>
      <c r="G7" s="481"/>
      <c r="H7" s="481"/>
      <c r="I7" s="481"/>
      <c r="J7" s="481"/>
      <c r="K7" s="481"/>
    </row>
    <row r="8" spans="2:41" ht="15" customHeight="1" x14ac:dyDescent="0.2">
      <c r="B8" s="479"/>
      <c r="C8" s="481"/>
      <c r="D8" s="481"/>
      <c r="E8" s="481"/>
      <c r="F8" s="481"/>
      <c r="G8" s="481"/>
      <c r="H8" s="481"/>
      <c r="I8" s="481"/>
      <c r="J8" s="481"/>
      <c r="K8" s="481"/>
    </row>
    <row r="9" spans="2:41" ht="15" customHeight="1" x14ac:dyDescent="0.2">
      <c r="B9" s="479"/>
      <c r="C9" s="481"/>
      <c r="D9" s="481"/>
      <c r="E9" s="481"/>
      <c r="F9" s="481"/>
      <c r="G9" s="481"/>
      <c r="H9" s="481"/>
      <c r="I9" s="481"/>
      <c r="J9" s="481"/>
      <c r="K9" s="481"/>
    </row>
    <row r="10" spans="2:41" ht="15" customHeight="1" x14ac:dyDescent="0.2">
      <c r="B10" s="479"/>
      <c r="C10" s="481"/>
      <c r="D10" s="481"/>
      <c r="E10" s="481"/>
      <c r="F10" s="481"/>
      <c r="G10" s="481"/>
      <c r="H10" s="481"/>
      <c r="I10" s="481"/>
      <c r="J10" s="481"/>
      <c r="K10" s="481"/>
    </row>
  </sheetData>
  <sheetProtection algorithmName="SHA-512" hashValue="1pgCYf2S8dXaEicsavP9yDPjqvNffGFL4kGu2yEgordY4bR0kCT+6KEdteQGXdu7RkvoA4tSW+ASZo5x2sDgGQ==" saltValue="+Tz0XlBCG5gwOth3ZZoRoQ==" spinCount="100000" sheet="1" objects="1" scenarios="1"/>
  <mergeCells count="2">
    <mergeCell ref="B4:K4"/>
    <mergeCell ref="B5:K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N285"/>
  <sheetViews>
    <sheetView zoomScale="80" zoomScaleNormal="80" workbookViewId="0">
      <pane ySplit="2" topLeftCell="A3" activePane="bottomLeft" state="frozen"/>
      <selection activeCell="M4" sqref="M4"/>
      <selection pane="bottomLeft" activeCell="B3" sqref="B3"/>
    </sheetView>
  </sheetViews>
  <sheetFormatPr defaultColWidth="9.140625" defaultRowHeight="12.75" x14ac:dyDescent="0.2"/>
  <cols>
    <col min="1" max="1" width="5.42578125" style="149" customWidth="1"/>
    <col min="2" max="2" width="51.5703125" style="149" customWidth="1"/>
    <col min="3" max="6" width="28.7109375" style="149" customWidth="1"/>
    <col min="7" max="7" width="28.7109375" style="197" customWidth="1"/>
    <col min="8" max="8" width="5.7109375" style="144" customWidth="1"/>
    <col min="9" max="9" width="10.42578125" style="149" customWidth="1"/>
    <col min="10" max="10" width="42.42578125" style="149" customWidth="1"/>
    <col min="11" max="12" width="31" style="149" customWidth="1"/>
    <col min="13" max="13" width="32.28515625" style="149" customWidth="1"/>
    <col min="14" max="14" width="38.28515625" style="149" customWidth="1"/>
    <col min="15" max="15" width="29" style="149" customWidth="1"/>
    <col min="16" max="16" width="31.5703125" style="149" customWidth="1"/>
    <col min="17" max="20" width="29" style="149" customWidth="1"/>
    <col min="21" max="21" width="18.85546875" style="149" customWidth="1"/>
    <col min="22" max="22" width="18.7109375" style="149" customWidth="1"/>
    <col min="23" max="27" width="27.28515625" style="149" customWidth="1"/>
    <col min="28" max="28" width="27.28515625" style="144" customWidth="1"/>
    <col min="29" max="29" width="32.140625" style="146" customWidth="1"/>
    <col min="30" max="31" width="16.5703125" style="144" customWidth="1"/>
    <col min="32" max="32" width="11.28515625" style="144" customWidth="1"/>
    <col min="33" max="39" width="9.140625" style="144" customWidth="1"/>
    <col min="40" max="40" width="9.140625" style="147" customWidth="1"/>
    <col min="41" max="41" width="9.140625" style="144" customWidth="1"/>
    <col min="42" max="16384" width="9.140625" style="144"/>
  </cols>
  <sheetData>
    <row r="1" spans="1:40" ht="13.15" customHeight="1" x14ac:dyDescent="0.2">
      <c r="A1" s="144"/>
      <c r="B1" s="144"/>
      <c r="C1" s="144"/>
      <c r="D1" s="144"/>
      <c r="E1" s="144"/>
      <c r="F1" s="144"/>
      <c r="G1" s="145"/>
      <c r="I1" s="144"/>
      <c r="J1" s="144"/>
      <c r="K1" s="144"/>
      <c r="L1" s="144"/>
      <c r="M1" s="144"/>
      <c r="N1" s="144"/>
      <c r="O1" s="144"/>
      <c r="P1" s="144"/>
      <c r="Q1" s="144"/>
      <c r="R1" s="144"/>
      <c r="S1" s="144"/>
      <c r="T1" s="144"/>
      <c r="U1" s="144"/>
      <c r="V1" s="144"/>
      <c r="W1" s="144"/>
      <c r="X1" s="144"/>
      <c r="Y1" s="144"/>
      <c r="Z1" s="144"/>
      <c r="AA1" s="144"/>
    </row>
    <row r="2" spans="1:40" ht="36" customHeight="1" x14ac:dyDescent="0.2">
      <c r="A2" s="144"/>
      <c r="B2" s="534" t="s">
        <v>1023</v>
      </c>
      <c r="C2" s="505"/>
      <c r="D2" s="505"/>
      <c r="E2" s="505"/>
      <c r="F2" s="505"/>
      <c r="G2" s="505"/>
      <c r="I2" s="144"/>
      <c r="J2" s="144"/>
      <c r="K2" s="144"/>
      <c r="L2" s="144"/>
      <c r="M2" s="144"/>
      <c r="N2" s="144"/>
      <c r="O2" s="144"/>
      <c r="P2" s="144"/>
      <c r="Q2" s="144"/>
      <c r="R2" s="144"/>
      <c r="S2" s="144"/>
      <c r="T2" s="144"/>
      <c r="U2" s="144"/>
      <c r="V2" s="144"/>
      <c r="W2" s="144"/>
      <c r="X2" s="144"/>
      <c r="Y2" s="144"/>
      <c r="Z2" s="144"/>
      <c r="AA2" s="144"/>
    </row>
    <row r="3" spans="1:40" ht="15" customHeight="1" x14ac:dyDescent="0.2">
      <c r="A3" s="144"/>
      <c r="B3" s="144"/>
      <c r="C3" s="144"/>
      <c r="D3" s="144"/>
      <c r="E3" s="144"/>
      <c r="F3" s="144"/>
      <c r="G3" s="144"/>
      <c r="I3" s="144"/>
      <c r="J3" s="144"/>
      <c r="K3" s="144"/>
      <c r="L3" s="144"/>
      <c r="M3" s="144"/>
      <c r="N3" s="144"/>
      <c r="O3" s="144"/>
      <c r="P3" s="144"/>
      <c r="Q3" s="144"/>
      <c r="R3" s="144"/>
      <c r="S3" s="144"/>
      <c r="T3" s="144"/>
      <c r="U3" s="144"/>
      <c r="V3" s="144"/>
      <c r="W3" s="144"/>
      <c r="X3" s="144"/>
      <c r="Y3" s="144"/>
      <c r="Z3" s="144"/>
      <c r="AA3" s="144"/>
    </row>
    <row r="4" spans="1:40" ht="32.1" customHeight="1" x14ac:dyDescent="0.2">
      <c r="A4" s="113"/>
      <c r="B4" s="516" t="s">
        <v>1001</v>
      </c>
      <c r="C4" s="516"/>
      <c r="D4" s="516"/>
      <c r="E4" s="516"/>
      <c r="F4" s="516"/>
      <c r="G4" s="516"/>
      <c r="I4" s="253" t="s">
        <v>672</v>
      </c>
      <c r="J4" s="253"/>
      <c r="K4" s="144"/>
      <c r="L4" s="144"/>
      <c r="M4" s="144"/>
      <c r="N4" s="110"/>
      <c r="O4" s="110"/>
      <c r="P4" s="110"/>
      <c r="Q4" s="110"/>
      <c r="R4" s="110"/>
      <c r="S4" s="110"/>
      <c r="T4" s="110"/>
      <c r="U4" s="110"/>
      <c r="V4" s="110"/>
      <c r="W4" s="110"/>
      <c r="X4" s="110"/>
      <c r="Y4" s="110"/>
      <c r="Z4" s="110"/>
      <c r="AA4" s="110"/>
      <c r="AB4" s="110"/>
      <c r="AC4" s="144"/>
      <c r="AN4" s="144"/>
    </row>
    <row r="5" spans="1:40" ht="15" customHeight="1" x14ac:dyDescent="0.2">
      <c r="A5" s="113"/>
      <c r="B5" s="320"/>
      <c r="C5" s="320"/>
      <c r="D5" s="113"/>
      <c r="E5" s="113"/>
      <c r="F5" s="113"/>
      <c r="G5" s="113"/>
      <c r="I5" s="254"/>
      <c r="J5" s="347" t="s">
        <v>673</v>
      </c>
      <c r="K5" s="144"/>
      <c r="L5" s="144"/>
      <c r="M5" s="144"/>
      <c r="N5" s="110"/>
      <c r="O5" s="110"/>
      <c r="P5" s="110"/>
      <c r="Q5" s="110"/>
      <c r="R5" s="110"/>
      <c r="S5" s="110"/>
      <c r="T5" s="110"/>
      <c r="U5" s="110"/>
      <c r="V5" s="110"/>
      <c r="W5" s="110"/>
      <c r="X5" s="110"/>
      <c r="Y5" s="110"/>
      <c r="Z5" s="110"/>
      <c r="AA5" s="110"/>
      <c r="AB5" s="110"/>
      <c r="AC5" s="110"/>
      <c r="AD5" s="110"/>
      <c r="AN5" s="144"/>
    </row>
    <row r="6" spans="1:40" ht="15" customHeight="1" x14ac:dyDescent="0.2">
      <c r="A6" s="113"/>
      <c r="B6" s="528" t="s">
        <v>675</v>
      </c>
      <c r="C6" s="638"/>
      <c r="D6" s="639"/>
      <c r="E6" s="640"/>
      <c r="F6" s="113"/>
      <c r="G6" s="113"/>
      <c r="I6" s="255"/>
      <c r="J6" s="347" t="s">
        <v>674</v>
      </c>
      <c r="K6" s="150"/>
      <c r="L6" s="150"/>
      <c r="M6" s="144"/>
      <c r="N6" s="110"/>
      <c r="O6" s="110"/>
      <c r="P6" s="110"/>
      <c r="Q6" s="110"/>
      <c r="R6" s="110"/>
      <c r="S6" s="110"/>
      <c r="T6" s="110"/>
      <c r="U6" s="110"/>
      <c r="V6" s="110"/>
      <c r="W6" s="110"/>
      <c r="X6" s="110"/>
      <c r="Y6" s="110"/>
      <c r="Z6" s="110"/>
      <c r="AA6" s="110"/>
      <c r="AB6" s="110"/>
      <c r="AC6" s="110"/>
      <c r="AD6" s="110"/>
      <c r="AN6" s="144"/>
    </row>
    <row r="7" spans="1:40" ht="15" customHeight="1" x14ac:dyDescent="0.2">
      <c r="A7" s="113"/>
      <c r="B7" s="113"/>
      <c r="C7" s="113"/>
      <c r="D7" s="113"/>
      <c r="E7" s="113"/>
      <c r="F7" s="113"/>
      <c r="G7" s="113"/>
      <c r="I7" s="256"/>
      <c r="J7" s="347" t="str">
        <f>'Office calculator'!J7</f>
        <v>Cells that are dark grey are user input cells which are not applicable due to either building type or user input/option selection or default setting. Note these cells can change to ones requiring user input depending on the users option selection in other cells.</v>
      </c>
      <c r="K7" s="148"/>
      <c r="L7" s="148"/>
      <c r="M7" s="144"/>
      <c r="N7" s="110"/>
      <c r="O7" s="110"/>
      <c r="P7" s="110"/>
      <c r="Q7" s="110"/>
      <c r="R7" s="110"/>
      <c r="S7" s="110"/>
      <c r="T7" s="110"/>
      <c r="U7" s="110"/>
      <c r="V7" s="110"/>
      <c r="W7" s="110"/>
      <c r="X7" s="110"/>
      <c r="Y7" s="110"/>
      <c r="Z7" s="110"/>
      <c r="AA7" s="110"/>
      <c r="AB7" s="110"/>
      <c r="AC7" s="110"/>
      <c r="AD7" s="110"/>
      <c r="AN7" s="144"/>
    </row>
    <row r="8" spans="1:40" ht="15" customHeight="1" x14ac:dyDescent="0.2">
      <c r="A8" s="113"/>
      <c r="B8" s="528" t="s">
        <v>676</v>
      </c>
      <c r="C8" s="638"/>
      <c r="D8" s="639"/>
      <c r="E8" s="640"/>
      <c r="F8" s="113"/>
      <c r="G8" s="113"/>
      <c r="I8" s="345" t="s">
        <v>759</v>
      </c>
      <c r="J8" s="633" t="str">
        <f>'Office calculator'!J8:M12</f>
        <v>A red arrow indicates that option selection or mandatory data entry is required in one of the cells on the row where this arrow appears. Without appropriate selection/data the calculator will not be able to determine the number of BREEAM credits. Where the term "Requires building information" appears check to make sure there are no red arrows indicating an absence of option selection or data entry.</v>
      </c>
      <c r="K8" s="643"/>
      <c r="L8" s="643"/>
      <c r="M8" s="643"/>
      <c r="N8" s="110"/>
      <c r="O8" s="110"/>
      <c r="P8" s="110"/>
      <c r="Q8" s="110"/>
      <c r="R8" s="110"/>
      <c r="S8" s="110"/>
      <c r="T8" s="110"/>
      <c r="U8" s="110"/>
      <c r="V8" s="110"/>
      <c r="W8" s="110"/>
      <c r="X8" s="110"/>
      <c r="Y8" s="110"/>
      <c r="Z8" s="110"/>
      <c r="AA8" s="110"/>
      <c r="AB8" s="110"/>
      <c r="AC8" s="110"/>
      <c r="AD8" s="110"/>
      <c r="AN8" s="144"/>
    </row>
    <row r="9" spans="1:40" ht="15" customHeight="1" x14ac:dyDescent="0.2">
      <c r="A9" s="113"/>
      <c r="B9" s="113"/>
      <c r="C9" s="564"/>
      <c r="D9" s="565"/>
      <c r="E9" s="565"/>
      <c r="F9" s="113"/>
      <c r="G9" s="113"/>
      <c r="I9" s="566"/>
      <c r="J9" s="633"/>
      <c r="K9" s="643"/>
      <c r="L9" s="643"/>
      <c r="M9" s="643"/>
      <c r="N9" s="110"/>
      <c r="O9" s="110"/>
      <c r="P9" s="110"/>
      <c r="Q9" s="110"/>
      <c r="R9" s="110"/>
      <c r="S9" s="110"/>
      <c r="T9" s="110"/>
      <c r="U9" s="110"/>
      <c r="V9" s="110"/>
      <c r="W9" s="110"/>
      <c r="X9" s="110"/>
      <c r="Y9" s="110"/>
      <c r="Z9" s="110"/>
      <c r="AA9" s="110"/>
      <c r="AB9" s="110"/>
      <c r="AC9" s="110"/>
      <c r="AD9" s="110"/>
      <c r="AN9" s="144"/>
    </row>
    <row r="10" spans="1:40" ht="15" customHeight="1" x14ac:dyDescent="0.2">
      <c r="A10" s="113"/>
      <c r="B10" s="528" t="s">
        <v>961</v>
      </c>
      <c r="C10" s="618" t="s">
        <v>654</v>
      </c>
      <c r="D10" s="618"/>
      <c r="E10" s="565"/>
      <c r="F10" s="113"/>
      <c r="G10" s="113"/>
      <c r="I10" s="566"/>
      <c r="J10" s="633"/>
      <c r="K10" s="643"/>
      <c r="L10" s="643"/>
      <c r="M10" s="643"/>
      <c r="N10" s="110"/>
      <c r="O10" s="110"/>
      <c r="P10" s="110"/>
      <c r="Q10" s="110"/>
      <c r="R10" s="110"/>
      <c r="S10" s="110"/>
      <c r="T10" s="110"/>
      <c r="U10" s="110"/>
      <c r="V10" s="110"/>
      <c r="W10" s="110"/>
      <c r="X10" s="110"/>
      <c r="Y10" s="110"/>
      <c r="Z10" s="110"/>
      <c r="AA10" s="110"/>
      <c r="AB10" s="110"/>
      <c r="AC10" s="110"/>
      <c r="AD10" s="110"/>
      <c r="AN10" s="144"/>
    </row>
    <row r="11" spans="1:40" ht="15" customHeight="1" x14ac:dyDescent="0.2">
      <c r="A11" s="113"/>
      <c r="B11" s="136"/>
      <c r="C11" s="136"/>
      <c r="D11" s="113"/>
      <c r="E11" s="113"/>
      <c r="F11" s="113"/>
      <c r="G11" s="114"/>
      <c r="I11" s="117"/>
      <c r="J11" s="643"/>
      <c r="K11" s="643"/>
      <c r="L11" s="643"/>
      <c r="M11" s="643"/>
      <c r="N11" s="144"/>
      <c r="O11" s="144"/>
      <c r="P11" s="144"/>
      <c r="Q11" s="144"/>
      <c r="R11" s="144"/>
      <c r="S11" s="144"/>
      <c r="T11" s="144"/>
      <c r="U11" s="144"/>
      <c r="V11" s="144"/>
      <c r="W11" s="144"/>
      <c r="X11" s="144"/>
      <c r="Y11" s="144"/>
      <c r="Z11" s="144"/>
      <c r="AA11" s="144"/>
    </row>
    <row r="12" spans="1:40" ht="24.95" customHeight="1" x14ac:dyDescent="0.2">
      <c r="A12" s="113"/>
      <c r="B12" s="535" t="s">
        <v>640</v>
      </c>
      <c r="C12" s="535" t="s">
        <v>641</v>
      </c>
      <c r="D12" s="536"/>
      <c r="E12" s="550" t="s">
        <v>796</v>
      </c>
      <c r="F12" s="539" t="s">
        <v>618</v>
      </c>
      <c r="G12" s="538" t="s">
        <v>388</v>
      </c>
      <c r="I12" s="144"/>
      <c r="J12" s="643"/>
      <c r="K12" s="643"/>
      <c r="L12" s="643"/>
      <c r="M12" s="643"/>
      <c r="N12" s="144"/>
      <c r="O12" s="144"/>
      <c r="P12" s="144"/>
      <c r="Q12" s="144"/>
      <c r="R12" s="144"/>
      <c r="S12" s="144"/>
      <c r="T12" s="144"/>
      <c r="U12" s="144"/>
      <c r="V12" s="144"/>
      <c r="W12" s="150"/>
      <c r="X12" s="150"/>
      <c r="Y12" s="150"/>
      <c r="Z12" s="150"/>
      <c r="AA12" s="150"/>
      <c r="AB12" s="150"/>
      <c r="AC12" s="150"/>
    </row>
    <row r="13" spans="1:40" ht="30" customHeight="1" x14ac:dyDescent="0.2">
      <c r="A13" s="346" t="str">
        <f>IF(B13=$Q$130,"&gt;","")</f>
        <v/>
      </c>
      <c r="B13" s="352" t="s">
        <v>976</v>
      </c>
      <c r="C13" s="630" t="str">
        <f>VLOOKUP(B13,'Activity database'!A:B,2,FALSE)</f>
        <v>Non-residential higher education learning resource centres/teaching facility only</v>
      </c>
      <c r="D13" s="631"/>
      <c r="E13" s="357" t="str">
        <f>IF(O142=0,Q138,O142)</f>
        <v>Requires building information</v>
      </c>
      <c r="F13" s="116">
        <f>VLOOKUP(B13,'Activity database'!A:AN,4,FALSE)</f>
        <v>195</v>
      </c>
      <c r="G13" s="116">
        <f>VLOOKUP(B13,'Activity database'!A:AN,5,FALSE)</f>
        <v>10</v>
      </c>
      <c r="I13" s="144"/>
      <c r="J13" s="144"/>
      <c r="K13" s="144"/>
      <c r="L13" s="144"/>
      <c r="M13" s="144"/>
      <c r="N13" s="144"/>
      <c r="O13" s="144"/>
      <c r="P13" s="144"/>
      <c r="Q13" s="144"/>
      <c r="R13" s="144"/>
      <c r="S13" s="144"/>
      <c r="T13" s="144"/>
      <c r="U13" s="144"/>
      <c r="V13" s="144"/>
      <c r="W13" s="151"/>
      <c r="X13" s="152"/>
      <c r="Y13" s="152"/>
      <c r="Z13" s="152"/>
      <c r="AA13" s="152"/>
      <c r="AB13" s="152"/>
      <c r="AC13" s="152"/>
    </row>
    <row r="14" spans="1:40" ht="17.25" customHeight="1" x14ac:dyDescent="0.2">
      <c r="A14" s="113"/>
      <c r="B14" s="113"/>
      <c r="C14" s="113"/>
      <c r="D14" s="113"/>
      <c r="E14" s="113"/>
      <c r="F14" s="137"/>
      <c r="G14" s="114"/>
      <c r="I14" s="144"/>
      <c r="J14" s="144"/>
      <c r="K14" s="144"/>
      <c r="L14" s="144"/>
      <c r="M14" s="144"/>
      <c r="N14" s="144"/>
      <c r="O14" s="144"/>
      <c r="P14" s="144"/>
      <c r="Q14" s="144"/>
      <c r="R14" s="144"/>
      <c r="S14" s="144"/>
      <c r="T14" s="144"/>
      <c r="U14" s="144"/>
      <c r="V14" s="144"/>
      <c r="W14" s="144"/>
      <c r="Y14" s="144"/>
      <c r="Z14" s="144"/>
      <c r="AA14" s="144"/>
    </row>
    <row r="15" spans="1:40" ht="24.95" customHeight="1" x14ac:dyDescent="0.2">
      <c r="A15" s="113"/>
      <c r="B15" s="546" t="s">
        <v>645</v>
      </c>
      <c r="C15" s="535" t="s">
        <v>639</v>
      </c>
      <c r="D15" s="536"/>
      <c r="E15" s="537"/>
      <c r="F15" s="538" t="s">
        <v>502</v>
      </c>
      <c r="G15" s="538" t="s">
        <v>959</v>
      </c>
      <c r="H15" s="619" t="str">
        <f>'Office calculator'!H15:O16</f>
        <v>Note: the  activity areas defined opposite are used to estimate the assessed building's default occupancy and therefore water consumption benchmark. These areas are chosen as they are deemed, by in large, to represent the permanently occupied spaces in the building and therefore reflect the number of building occupants/users. As a result it is not necessary to include all areas of the building that may be present, as the areas not defined are assumed to be used by the occupants of the building already accounted for by those areas that are listed.</v>
      </c>
      <c r="I15" s="603"/>
      <c r="J15" s="603"/>
      <c r="K15" s="603"/>
      <c r="L15" s="603"/>
      <c r="M15" s="603"/>
      <c r="N15" s="511"/>
      <c r="O15" s="511"/>
      <c r="P15" s="144"/>
      <c r="Q15" s="144"/>
      <c r="R15" s="144"/>
      <c r="S15" s="144"/>
      <c r="T15" s="144"/>
      <c r="U15" s="144"/>
      <c r="V15" s="144"/>
      <c r="W15" s="144"/>
      <c r="X15" s="117"/>
      <c r="Y15" s="144"/>
      <c r="Z15" s="144"/>
      <c r="AA15" s="144"/>
      <c r="AC15" s="144"/>
      <c r="AN15" s="144"/>
    </row>
    <row r="16" spans="1:40" ht="39.950000000000003" customHeight="1" x14ac:dyDescent="0.2">
      <c r="A16" s="346" t="str">
        <f>IF(B13=Q130,"",IF(F16=$Q$130,"&gt;",IF(AND(F16=$Q$131,G16=""),"&gt;","")))</f>
        <v>&gt;</v>
      </c>
      <c r="B16" s="348" t="str">
        <f>'Activity database'!A21</f>
        <v>Education - Seminar rooms/areas</v>
      </c>
      <c r="C16" s="623" t="str">
        <f>VLOOKUP(B16,'Activity database'!A:B,2,FALSE)</f>
        <v>Include seminar rooms/spaces and write-up rooms/spaces i.e. areas where students and lecturers gather for seminars/write-up. Exclude lecture theatres, labs, workshops and library/learning resource area.</v>
      </c>
      <c r="D16" s="623"/>
      <c r="E16" s="623"/>
      <c r="F16" s="261" t="s">
        <v>654</v>
      </c>
      <c r="G16" s="262"/>
      <c r="H16" s="619"/>
      <c r="I16" s="603"/>
      <c r="J16" s="603"/>
      <c r="K16" s="603"/>
      <c r="L16" s="603"/>
      <c r="M16" s="603"/>
      <c r="N16" s="511"/>
      <c r="O16" s="511"/>
      <c r="P16" s="144"/>
      <c r="Q16" s="144"/>
      <c r="R16" s="144"/>
      <c r="S16" s="144"/>
      <c r="T16" s="144"/>
      <c r="U16" s="144"/>
      <c r="V16" s="144"/>
      <c r="W16" s="144"/>
      <c r="X16" s="117"/>
      <c r="Y16" s="144"/>
      <c r="Z16" s="144"/>
      <c r="AA16" s="144"/>
      <c r="AC16" s="144"/>
      <c r="AN16" s="144"/>
    </row>
    <row r="17" spans="1:40" ht="39.950000000000003" customHeight="1" x14ac:dyDescent="0.2">
      <c r="A17" s="346" t="str">
        <f>IF(B13=Q130,"",IF(F17=$Q$130,"&gt;",IF(AND(F17=$Q$131,G17=""),"&gt;","")))</f>
        <v>&gt;</v>
      </c>
      <c r="B17" s="348" t="str">
        <f>'Activity database'!A22</f>
        <v>Education - Staff office and adminstration areas</v>
      </c>
      <c r="C17" s="623" t="str">
        <f>VLOOKUP(B17,'Activity database'!A:B,2,FALSE)</f>
        <v>Cellular or open plan office space, including staff rooms and staff kitchen where present/adjacent and reception areas (including library reception desk areas if present). Exlcudes meeting rooms, visitor waiting or circulation areas and other such spaces not permanently occupied.</v>
      </c>
      <c r="D17" s="623"/>
      <c r="E17" s="623"/>
      <c r="F17" s="261" t="s">
        <v>654</v>
      </c>
      <c r="G17" s="262"/>
      <c r="H17" s="511"/>
      <c r="I17" s="511"/>
      <c r="J17" s="511"/>
      <c r="K17" s="511"/>
      <c r="L17" s="511"/>
      <c r="M17" s="511"/>
      <c r="N17" s="511"/>
      <c r="O17" s="511"/>
      <c r="P17" s="117"/>
      <c r="Q17" s="117"/>
      <c r="R17" s="117"/>
      <c r="S17" s="144"/>
      <c r="T17" s="144"/>
      <c r="U17" s="144"/>
      <c r="V17" s="144"/>
      <c r="W17" s="144"/>
      <c r="X17" s="117"/>
      <c r="Y17" s="144"/>
      <c r="Z17" s="144"/>
      <c r="AA17" s="144"/>
      <c r="AC17" s="144"/>
      <c r="AN17" s="144"/>
    </row>
    <row r="18" spans="1:40" ht="39.950000000000003" customHeight="1" x14ac:dyDescent="0.2">
      <c r="A18" s="346" t="str">
        <f>IF(B13=Q130,"",IF(F18=$Q$130,"&gt;",IF(AND(F18=$Q$131,G18=""),"&gt;","")))</f>
        <v>&gt;</v>
      </c>
      <c r="B18" s="348" t="str">
        <f>'Activity database'!A23</f>
        <v>Education - Common room</v>
      </c>
      <c r="C18" s="623" t="str">
        <f>VLOOKUP(B18,'Activity database'!A:B,2,FALSE)</f>
        <v>Student common room.</v>
      </c>
      <c r="D18" s="623"/>
      <c r="E18" s="623"/>
      <c r="F18" s="261" t="s">
        <v>654</v>
      </c>
      <c r="G18" s="262"/>
      <c r="H18" s="511"/>
      <c r="I18" s="511"/>
      <c r="J18" s="511"/>
      <c r="K18" s="511"/>
      <c r="L18" s="511"/>
      <c r="M18" s="511"/>
      <c r="N18" s="511"/>
      <c r="O18" s="511"/>
      <c r="P18" s="117"/>
      <c r="Q18" s="117"/>
      <c r="R18" s="117"/>
      <c r="S18" s="144"/>
      <c r="T18" s="144"/>
      <c r="U18" s="144"/>
      <c r="V18" s="144"/>
      <c r="W18" s="144"/>
      <c r="X18" s="117"/>
      <c r="Y18" s="144"/>
      <c r="Z18" s="144"/>
      <c r="AA18" s="144"/>
      <c r="AC18" s="144"/>
      <c r="AN18" s="144"/>
    </row>
    <row r="19" spans="1:40" ht="39.950000000000003" customHeight="1" x14ac:dyDescent="0.2">
      <c r="A19" s="346" t="str">
        <f>IF(B13=Q130,"",IF(F19=$Q$130,"&gt;",IF(AND(F19=$Q$131,G19=""),"&gt;","")))</f>
        <v>&gt;</v>
      </c>
      <c r="B19" s="348" t="str">
        <f>'Activity database'!A24</f>
        <v>Education - dining area</v>
      </c>
      <c r="C19" s="605" t="str">
        <f>VLOOKUP(B19,'Activity database'!A:B,2,FALSE)</f>
        <v>Seated dining areas that accompany a permanently staffed kitchen preparing food for consumption on the premises (excludes small un-staffed kitchen's used by staff to re-heat food, make tea etc.)</v>
      </c>
      <c r="D19" s="605"/>
      <c r="E19" s="605"/>
      <c r="F19" s="261" t="s">
        <v>654</v>
      </c>
      <c r="G19" s="262"/>
      <c r="H19" s="606" t="s">
        <v>909</v>
      </c>
      <c r="I19" s="624"/>
      <c r="J19" s="624"/>
      <c r="K19" s="624"/>
      <c r="L19" s="624"/>
      <c r="M19" s="624"/>
      <c r="N19" s="624"/>
      <c r="O19" s="624"/>
      <c r="P19" s="144"/>
      <c r="Q19" s="144"/>
      <c r="R19" s="144"/>
      <c r="S19" s="144"/>
      <c r="T19" s="144"/>
      <c r="U19" s="144"/>
      <c r="V19" s="144"/>
      <c r="W19" s="144"/>
      <c r="X19" s="117"/>
      <c r="Y19" s="153"/>
      <c r="Z19" s="153"/>
      <c r="AA19" s="153"/>
      <c r="AB19" s="153"/>
      <c r="AC19" s="144"/>
      <c r="AN19" s="144"/>
    </row>
    <row r="20" spans="1:40" ht="39.950000000000003" customHeight="1" x14ac:dyDescent="0.2">
      <c r="A20" s="346" t="str">
        <f>IF(B13=Q130,"",IF(F20=$Q$130,"&gt;",""))</f>
        <v>&gt;</v>
      </c>
      <c r="B20" s="348" t="str">
        <f>'Activity database'!A25</f>
        <v>Sporting facility with changing rooms and showers</v>
      </c>
      <c r="C20" s="605" t="str">
        <f>VLOOKUP(B20,'Activity database'!A:B,2,FALSE)</f>
        <v>Changing facility with showers, used by students and/or staff, linked to a sporting/fitness facility e.g. gym, that is part of the assessed building.</v>
      </c>
      <c r="D20" s="605"/>
      <c r="E20" s="605"/>
      <c r="F20" s="261" t="s">
        <v>654</v>
      </c>
      <c r="G20" s="262"/>
      <c r="H20" s="641" t="str">
        <f>IF(F20=Q131,"Note: Net floor area is not required for this activity. Its inclusion (or otherwise) simply determines the usage/person/day factor and therefore resulting water consumption from the showers.","")</f>
        <v/>
      </c>
      <c r="I20" s="642"/>
      <c r="J20" s="642"/>
      <c r="K20" s="642"/>
      <c r="L20" s="642"/>
      <c r="M20" s="642"/>
      <c r="N20" s="642"/>
      <c r="O20" s="642"/>
      <c r="P20" s="144"/>
      <c r="Q20" s="144"/>
      <c r="R20" s="144"/>
      <c r="S20" s="144"/>
      <c r="T20" s="144"/>
      <c r="U20" s="144"/>
      <c r="V20" s="144"/>
      <c r="W20" s="144"/>
      <c r="Y20" s="154"/>
      <c r="Z20" s="154"/>
      <c r="AA20" s="154"/>
      <c r="AB20" s="154"/>
      <c r="AC20" s="144"/>
      <c r="AN20" s="144"/>
    </row>
    <row r="21" spans="1:40" ht="39.950000000000003" customHeight="1" x14ac:dyDescent="0.2">
      <c r="A21" s="346" t="str">
        <f>IF(B13=Q130,"",IF(B13=R135,"",IF(F21=$Q$130,"&gt;",IF(AND(F21=$Q$131,G21=""),"&gt;",""))))</f>
        <v>&gt;</v>
      </c>
      <c r="B21" s="348" t="str">
        <f>'Activity database'!A26</f>
        <v>Education - Lecture theatre</v>
      </c>
      <c r="C21" s="635" t="str">
        <f>VLOOKUP(B21,'Activity database'!A:B,2,FALSE)</f>
        <v>Lecture theatre with permanent seating and/or stage used by lecturers and/or for staged performances.</v>
      </c>
      <c r="D21" s="636"/>
      <c r="E21" s="637"/>
      <c r="F21" s="261" t="s">
        <v>654</v>
      </c>
      <c r="G21" s="262"/>
      <c r="H21" s="509" t="str">
        <f>IF(AND(G21&gt;0,$B$13=$R$135),"&lt; Please delete the figure from this cell","")</f>
        <v/>
      </c>
      <c r="I21" s="511"/>
      <c r="J21" s="511"/>
      <c r="K21" s="511"/>
      <c r="L21" s="511"/>
      <c r="M21" s="511"/>
      <c r="N21" s="511"/>
      <c r="O21" s="511"/>
      <c r="P21" s="117"/>
      <c r="Q21" s="117"/>
      <c r="R21" s="117"/>
      <c r="S21" s="144"/>
      <c r="T21" s="144"/>
      <c r="U21" s="144"/>
      <c r="V21" s="144"/>
      <c r="W21" s="144"/>
      <c r="X21" s="117"/>
      <c r="Y21" s="144"/>
      <c r="Z21" s="144"/>
      <c r="AA21" s="144"/>
      <c r="AC21" s="144"/>
      <c r="AN21" s="144"/>
    </row>
    <row r="22" spans="1:40" ht="39.950000000000003" customHeight="1" x14ac:dyDescent="0.2">
      <c r="A22" s="346" t="str">
        <f>IF(B13=Q130,"",IF(B13=R135,"",IF(F22=$Q$130,"&gt;",IF(AND(F22=$Q$131,G22=""),"&gt;",""))))</f>
        <v>&gt;</v>
      </c>
      <c r="B22" s="348" t="str">
        <f>'Activity database'!A27</f>
        <v>Education - Study area</v>
      </c>
      <c r="C22" s="623" t="str">
        <f>VLOOKUP(B22,'Activity database'!A:B,2,FALSE)</f>
        <v>Study/write-up area in sixth form, further and/or Higer Education colleges.</v>
      </c>
      <c r="D22" s="623"/>
      <c r="E22" s="623"/>
      <c r="F22" s="261" t="s">
        <v>654</v>
      </c>
      <c r="G22" s="262"/>
      <c r="H22" s="509" t="str">
        <f>IF(AND(G22&gt;0,$B$13=$R$135),"&lt; Please delete the figure from this cell","")</f>
        <v/>
      </c>
      <c r="I22" s="511"/>
      <c r="J22" s="511"/>
      <c r="K22" s="511"/>
      <c r="L22" s="511"/>
      <c r="M22" s="511"/>
      <c r="N22" s="511"/>
      <c r="O22" s="511"/>
      <c r="P22" s="117"/>
      <c r="Q22" s="117"/>
      <c r="R22" s="117"/>
      <c r="S22" s="144"/>
      <c r="T22" s="144"/>
      <c r="U22" s="144"/>
      <c r="V22" s="144"/>
      <c r="W22" s="144"/>
      <c r="X22" s="117"/>
      <c r="Y22" s="144"/>
      <c r="Z22" s="144"/>
      <c r="AA22" s="144"/>
      <c r="AC22" s="144"/>
      <c r="AN22" s="144"/>
    </row>
    <row r="23" spans="1:40" ht="39.950000000000003" customHeight="1" x14ac:dyDescent="0.2">
      <c r="A23" s="346" t="str">
        <f>IF(B13=Q130,"",IF(B13=R135,"",IF(F23=$Q$130,"&gt;",IF(AND(F23=$Q$131,G23=""),"&gt;",""))))</f>
        <v>&gt;</v>
      </c>
      <c r="B23" s="348" t="str">
        <f>'Activity database'!A28</f>
        <v>Education - Workshop</v>
      </c>
      <c r="C23" s="623" t="str">
        <f>VLOOKUP(B23,'Activity database'!A:B,2,FALSE)</f>
        <v>Small scale workshop type space used for practical/vocational demonstrations/learning.</v>
      </c>
      <c r="D23" s="623"/>
      <c r="E23" s="623"/>
      <c r="F23" s="261" t="s">
        <v>654</v>
      </c>
      <c r="G23" s="262"/>
      <c r="H23" s="509" t="str">
        <f>IF(AND(G23&gt;0,$B$13=$R$135),"&lt; Please delete the figure from this cell","")</f>
        <v/>
      </c>
      <c r="I23" s="511"/>
      <c r="J23" s="511"/>
      <c r="K23" s="511"/>
      <c r="L23" s="511"/>
      <c r="M23" s="511"/>
      <c r="N23" s="511"/>
      <c r="O23" s="511"/>
      <c r="P23" s="117"/>
      <c r="Q23" s="117"/>
      <c r="R23" s="117"/>
      <c r="S23" s="144"/>
      <c r="T23" s="144"/>
      <c r="U23" s="144"/>
      <c r="V23" s="144"/>
      <c r="W23" s="144"/>
      <c r="X23" s="117"/>
      <c r="Y23" s="144"/>
      <c r="Z23" s="144"/>
      <c r="AA23" s="144"/>
      <c r="AC23" s="144"/>
      <c r="AN23" s="144"/>
    </row>
    <row r="24" spans="1:40" ht="39.950000000000003" customHeight="1" x14ac:dyDescent="0.2">
      <c r="A24" s="346" t="str">
        <f>IF(B13=Q130,"",IF(B13=R135,"",IF(F24=$Q$130,"&gt;",IF(AND(F24=$Q$131,G24=""),"&gt;",""))))</f>
        <v>&gt;</v>
      </c>
      <c r="B24" s="348" t="str">
        <f>'Activity database'!A29</f>
        <v>Education - Information Technology space</v>
      </c>
      <c r="C24" s="623" t="str">
        <f>VLOOKUP(B24,'Activity database'!A:B,2,FALSE)</f>
        <v>Laboratory/room containing I.T equipment and used for teaching/research related to information technology</v>
      </c>
      <c r="D24" s="623"/>
      <c r="E24" s="623"/>
      <c r="F24" s="261" t="s">
        <v>654</v>
      </c>
      <c r="G24" s="262"/>
      <c r="H24" s="509" t="str">
        <f>IF(AND(G24&gt;0,$B$13=$R$135),"&lt; Please delete the figure from this cell","")</f>
        <v/>
      </c>
      <c r="I24" s="511"/>
      <c r="J24" s="511"/>
      <c r="K24" s="511"/>
      <c r="L24" s="511"/>
      <c r="M24" s="511"/>
      <c r="N24" s="511"/>
      <c r="O24" s="511"/>
      <c r="P24" s="117"/>
      <c r="Q24" s="117"/>
      <c r="R24" s="117"/>
      <c r="S24" s="144"/>
      <c r="T24" s="144"/>
      <c r="U24" s="144"/>
      <c r="V24" s="144"/>
      <c r="W24" s="144"/>
      <c r="X24" s="117"/>
      <c r="Y24" s="144"/>
      <c r="Z24" s="144"/>
      <c r="AA24" s="144"/>
      <c r="AC24" s="144"/>
      <c r="AN24" s="144"/>
    </row>
    <row r="25" spans="1:40" ht="39.950000000000003" customHeight="1" x14ac:dyDescent="0.2">
      <c r="A25" s="346" t="str">
        <f>IF(B13=Q130,"",IF(B13=R135,"",IF(F25=$Q$130,"&gt;",IF(AND(F25=$Q$131,G25=""),"&gt;",""))))</f>
        <v>&gt;</v>
      </c>
      <c r="B25" s="348" t="str">
        <f>'Activity database'!A30</f>
        <v>Education - Laboratory</v>
      </c>
      <c r="C25" s="623" t="str">
        <f>VLOOKUP(B25,'Activity database'!A:B,2,FALSE)</f>
        <v>Laboratory space for teaching/learning related to science based subjects.</v>
      </c>
      <c r="D25" s="623"/>
      <c r="E25" s="623"/>
      <c r="F25" s="261" t="s">
        <v>654</v>
      </c>
      <c r="G25" s="262"/>
      <c r="H25" s="509" t="str">
        <f>IF(AND(G25&gt;0,$B$13=$R$135),"&lt; Please delete the figure from this cell","")</f>
        <v/>
      </c>
      <c r="I25" s="511"/>
      <c r="J25" s="511"/>
      <c r="K25" s="511"/>
      <c r="L25" s="511"/>
      <c r="M25" s="511"/>
      <c r="N25" s="511"/>
      <c r="O25" s="511"/>
      <c r="P25" s="117"/>
      <c r="Q25" s="117"/>
      <c r="R25" s="117"/>
      <c r="S25" s="144"/>
      <c r="T25" s="144"/>
      <c r="U25" s="144"/>
      <c r="V25" s="144"/>
      <c r="W25" s="144"/>
      <c r="X25" s="117"/>
      <c r="Y25" s="144"/>
      <c r="Z25" s="144"/>
      <c r="AA25" s="144"/>
      <c r="AC25" s="144"/>
      <c r="AN25" s="144"/>
    </row>
    <row r="26" spans="1:40" ht="24.95" customHeight="1" x14ac:dyDescent="0.2">
      <c r="A26" s="113"/>
      <c r="B26" s="322"/>
      <c r="C26" s="113"/>
      <c r="D26" s="113"/>
      <c r="E26" s="113"/>
      <c r="F26" s="113"/>
      <c r="G26" s="114"/>
      <c r="I26" s="144"/>
      <c r="J26" s="144"/>
      <c r="K26" s="144"/>
      <c r="L26" s="144"/>
      <c r="M26" s="144"/>
      <c r="N26" s="144"/>
      <c r="O26" s="144"/>
      <c r="P26" s="144"/>
      <c r="Q26" s="144"/>
      <c r="R26" s="144"/>
      <c r="S26" s="144"/>
      <c r="T26" s="117"/>
      <c r="U26" s="117"/>
      <c r="V26" s="117"/>
      <c r="W26" s="117"/>
      <c r="X26" s="193"/>
      <c r="Y26" s="155"/>
      <c r="Z26" s="155"/>
      <c r="AA26" s="155"/>
      <c r="AB26" s="155"/>
      <c r="AC26" s="144"/>
      <c r="AN26" s="144"/>
    </row>
    <row r="27" spans="1:40" ht="32.1" customHeight="1" x14ac:dyDescent="0.2">
      <c r="A27" s="113"/>
      <c r="B27" s="516" t="s">
        <v>698</v>
      </c>
      <c r="C27" s="516"/>
      <c r="D27" s="516"/>
      <c r="E27" s="516"/>
      <c r="F27" s="516"/>
      <c r="G27" s="516"/>
      <c r="I27" s="144"/>
      <c r="J27" s="144"/>
      <c r="K27" s="144"/>
      <c r="L27" s="144"/>
      <c r="M27" s="144"/>
      <c r="N27" s="144"/>
      <c r="O27" s="144"/>
      <c r="P27" s="148"/>
      <c r="Q27" s="148"/>
      <c r="R27" s="148"/>
      <c r="S27" s="148"/>
      <c r="T27" s="113"/>
      <c r="U27" s="113"/>
      <c r="V27" s="113"/>
      <c r="W27" s="113"/>
      <c r="X27" s="113"/>
      <c r="Y27" s="148"/>
      <c r="Z27" s="148"/>
      <c r="AA27" s="148"/>
      <c r="AB27" s="148"/>
      <c r="AC27" s="148"/>
      <c r="AN27" s="144"/>
    </row>
    <row r="28" spans="1:40" ht="24.95" customHeight="1" x14ac:dyDescent="0.2">
      <c r="A28" s="113"/>
      <c r="B28" s="320"/>
      <c r="C28" s="113"/>
      <c r="D28" s="113"/>
      <c r="E28" s="113"/>
      <c r="F28" s="113"/>
      <c r="G28" s="114"/>
      <c r="I28" s="144"/>
      <c r="J28" s="144"/>
      <c r="K28" s="144"/>
      <c r="L28" s="144"/>
      <c r="M28" s="144"/>
      <c r="N28" s="144"/>
      <c r="O28" s="144"/>
      <c r="P28" s="148"/>
      <c r="Q28" s="148"/>
      <c r="R28" s="148"/>
      <c r="S28" s="148"/>
      <c r="T28" s="113"/>
      <c r="U28" s="117"/>
      <c r="V28" s="117"/>
      <c r="W28" s="117"/>
      <c r="X28" s="117"/>
      <c r="Y28" s="117"/>
      <c r="Z28" s="117"/>
      <c r="AA28" s="117"/>
      <c r="AB28" s="117"/>
      <c r="AC28" s="144"/>
      <c r="AN28" s="144"/>
    </row>
    <row r="29" spans="1:40" ht="24.95" customHeight="1" x14ac:dyDescent="0.2">
      <c r="A29" s="113"/>
      <c r="B29" s="546" t="s">
        <v>536</v>
      </c>
      <c r="C29" s="538" t="s">
        <v>524</v>
      </c>
      <c r="D29" s="538" t="s">
        <v>621</v>
      </c>
      <c r="E29" s="538" t="s">
        <v>378</v>
      </c>
      <c r="F29" s="538" t="s">
        <v>284</v>
      </c>
      <c r="G29" s="538" t="s">
        <v>396</v>
      </c>
      <c r="I29" s="148"/>
      <c r="J29" s="148"/>
      <c r="K29" s="148"/>
      <c r="L29" s="148"/>
      <c r="M29" s="148"/>
      <c r="N29" s="139" t="s">
        <v>536</v>
      </c>
      <c r="O29" s="139" t="s">
        <v>81</v>
      </c>
      <c r="P29" s="139" t="s">
        <v>378</v>
      </c>
      <c r="Q29" s="139" t="s">
        <v>284</v>
      </c>
      <c r="R29" s="139" t="s">
        <v>82</v>
      </c>
      <c r="S29" s="148"/>
      <c r="T29" s="113"/>
      <c r="U29" s="117"/>
      <c r="V29" s="117"/>
      <c r="W29" s="117"/>
      <c r="X29" s="113"/>
      <c r="Y29" s="148"/>
      <c r="Z29" s="144"/>
      <c r="AA29" s="144"/>
      <c r="AC29" s="144"/>
      <c r="AN29" s="144"/>
    </row>
    <row r="30" spans="1:40" ht="15" customHeight="1" x14ac:dyDescent="0.2">
      <c r="A30" s="346" t="str">
        <f>IF(B30=$Q$130,"&gt;","")</f>
        <v>&gt;</v>
      </c>
      <c r="B30" s="263" t="s">
        <v>654</v>
      </c>
      <c r="C30" s="120" t="s">
        <v>525</v>
      </c>
      <c r="D30" s="264"/>
      <c r="E30" s="121" t="str">
        <f>IF(OR(B13=Q130,B30=Q130),Q138,IF(B30=R131,VLOOKUP($B$13,'Activity database'!$A:$AN,9,FALSE),IF(B30=R132,VLOOKUP($B$13,'Activity database'!$A:$BY,10,FALSE))))</f>
        <v>Requires building information</v>
      </c>
      <c r="F30" s="121">
        <f>IF(B13=Q130,Q138,VLOOKUP($B$13,'Activity database'!$A:$BY,27,FALSE))</f>
        <v>1</v>
      </c>
      <c r="G30" s="119" t="str">
        <f>IF(ISERROR((D30*E30*F30*(VLOOKUP(B13,'Activity database'!A:BA,7,FALSE)))),Q138,(D30*E30*F30*(VLOOKUP(B13,'Activity database'!A:BA,7,FALSE))))</f>
        <v>Requires building information</v>
      </c>
      <c r="H30" s="347" t="str">
        <f>IF(B30=R130,"Note: please seelct the relevant option for WC component opposite","")</f>
        <v>Note: please seelct the relevant option for WC component opposite</v>
      </c>
      <c r="I30" s="148"/>
      <c r="J30" s="148"/>
      <c r="K30" s="148"/>
      <c r="L30" s="148"/>
      <c r="M30" s="148"/>
      <c r="N30" s="205" t="str">
        <f>B30</f>
        <v>Please select</v>
      </c>
      <c r="O30" s="121">
        <f>IF($D$30="",0,VLOOKUP($N$30,'Activity database'!$AT:$BA,2,FALSE))</f>
        <v>0</v>
      </c>
      <c r="P30" s="121" t="str">
        <f>E30</f>
        <v>Requires building information</v>
      </c>
      <c r="Q30" s="121">
        <f>F30</f>
        <v>1</v>
      </c>
      <c r="R30" s="119">
        <f>IF($D$30="",0,O30*$P$30*$Q$30*(VLOOKUP($B$13,'Activity database'!$A:$BA,7,FALSE)))</f>
        <v>0</v>
      </c>
      <c r="S30" s="148"/>
      <c r="T30" s="113"/>
      <c r="U30" s="117"/>
      <c r="V30" s="117"/>
      <c r="W30" s="117"/>
      <c r="X30" s="113"/>
      <c r="Y30" s="148"/>
      <c r="Z30" s="144"/>
      <c r="AA30" s="144"/>
      <c r="AC30" s="144"/>
      <c r="AN30" s="144"/>
    </row>
    <row r="31" spans="1:40" ht="15" customHeight="1" x14ac:dyDescent="0.2">
      <c r="A31" s="113"/>
      <c r="B31" s="128" t="str">
        <f>'Activity database'!K3</f>
        <v>WC - female</v>
      </c>
      <c r="C31" s="120" t="s">
        <v>525</v>
      </c>
      <c r="D31" s="264"/>
      <c r="E31" s="121">
        <f>IF(B13=Q130,Q138,VLOOKUP($B$13,'Activity database'!$A:$BY,11,FALSE))</f>
        <v>4</v>
      </c>
      <c r="F31" s="121">
        <f>IF(B13=Q130,Q138,VLOOKUP($B$13,'Activity database'!$A:$BY,27,FALSE))</f>
        <v>1</v>
      </c>
      <c r="G31" s="119">
        <f>IF(B13=Q130,Q138,D31*E31*F31*(VLOOKUP(B13,'Activity database'!A:BA,8,FALSE)))</f>
        <v>0</v>
      </c>
      <c r="H31" s="603" t="s">
        <v>678</v>
      </c>
      <c r="I31" s="603"/>
      <c r="J31" s="603"/>
      <c r="K31" s="603"/>
      <c r="L31" s="603"/>
      <c r="M31" s="603"/>
      <c r="N31" s="283" t="str">
        <f>B31</f>
        <v>WC - female</v>
      </c>
      <c r="O31" s="121">
        <f>IF($D$31="",0,VLOOKUP($N$31,'Activity database'!$AT:$BA,2,FALSE))</f>
        <v>0</v>
      </c>
      <c r="P31" s="121">
        <f>E31</f>
        <v>4</v>
      </c>
      <c r="Q31" s="121">
        <f>F31</f>
        <v>1</v>
      </c>
      <c r="R31" s="119">
        <f>IF($D$31="",0,O31*$P$31*$Q$31*(VLOOKUP($B$13,'Activity database'!$A:$BA,8,FALSE)))</f>
        <v>0</v>
      </c>
      <c r="S31" s="148"/>
      <c r="T31" s="113"/>
      <c r="U31" s="117"/>
      <c r="V31" s="117"/>
      <c r="W31" s="117"/>
      <c r="X31" s="113"/>
      <c r="Y31" s="148"/>
      <c r="Z31" s="144"/>
      <c r="AA31" s="144"/>
      <c r="AC31" s="144"/>
      <c r="AN31" s="144"/>
    </row>
    <row r="32" spans="1:40" ht="12.75" customHeight="1" x14ac:dyDescent="0.2">
      <c r="A32" s="113"/>
      <c r="B32" s="113"/>
      <c r="C32" s="113"/>
      <c r="D32" s="113"/>
      <c r="E32" s="113"/>
      <c r="F32" s="113"/>
      <c r="G32" s="114"/>
      <c r="H32" s="603"/>
      <c r="I32" s="603"/>
      <c r="J32" s="603"/>
      <c r="K32" s="603"/>
      <c r="L32" s="603"/>
      <c r="M32" s="603"/>
      <c r="N32" s="148"/>
      <c r="O32" s="148"/>
      <c r="P32" s="148"/>
      <c r="Q32" s="148"/>
      <c r="R32" s="148"/>
      <c r="S32" s="148"/>
      <c r="T32" s="113"/>
      <c r="U32" s="117"/>
      <c r="V32" s="117"/>
      <c r="W32" s="117"/>
      <c r="X32" s="113"/>
      <c r="Y32" s="148"/>
      <c r="Z32" s="144"/>
      <c r="AA32" s="144"/>
      <c r="AC32" s="144"/>
      <c r="AN32" s="144"/>
    </row>
    <row r="33" spans="1:40" ht="24.95" customHeight="1" x14ac:dyDescent="0.2">
      <c r="A33" s="113"/>
      <c r="B33" s="546" t="s">
        <v>90</v>
      </c>
      <c r="C33" s="538" t="s">
        <v>524</v>
      </c>
      <c r="D33" s="538" t="s">
        <v>621</v>
      </c>
      <c r="E33" s="538" t="s">
        <v>615</v>
      </c>
      <c r="F33" s="538" t="s">
        <v>87</v>
      </c>
      <c r="G33" s="538" t="s">
        <v>396</v>
      </c>
      <c r="H33" s="603"/>
      <c r="I33" s="603"/>
      <c r="J33" s="603"/>
      <c r="K33" s="603"/>
      <c r="L33" s="603"/>
      <c r="M33" s="603"/>
      <c r="N33" s="324" t="s">
        <v>90</v>
      </c>
      <c r="O33" s="138" t="s">
        <v>81</v>
      </c>
      <c r="P33" s="138" t="s">
        <v>84</v>
      </c>
      <c r="Q33" s="138" t="s">
        <v>83</v>
      </c>
      <c r="R33" s="138" t="s">
        <v>82</v>
      </c>
      <c r="S33" s="148"/>
      <c r="T33" s="113"/>
      <c r="U33" s="117"/>
      <c r="V33" s="117"/>
      <c r="W33" s="117"/>
      <c r="X33" s="113"/>
      <c r="Y33" s="148"/>
      <c r="Z33" s="144"/>
      <c r="AA33" s="144"/>
      <c r="AC33" s="144"/>
      <c r="AN33" s="144"/>
    </row>
    <row r="34" spans="1:40" ht="15" customHeight="1" x14ac:dyDescent="0.2">
      <c r="A34" s="346" t="str">
        <f>IF(AND(D34&gt;0,OR(E34="",F34="")),"&gt;","")</f>
        <v/>
      </c>
      <c r="B34" s="610" t="s">
        <v>752</v>
      </c>
      <c r="C34" s="120" t="s">
        <v>614</v>
      </c>
      <c r="D34" s="264"/>
      <c r="E34" s="265">
        <v>1</v>
      </c>
      <c r="F34" s="265">
        <v>6</v>
      </c>
      <c r="G34" s="119">
        <f>IF(B13=Q130,Q138,IF(OR(D34=0,E34=0,F34=0,B30=R132),0,(D34*E34*F34*G13)/O142))</f>
        <v>0</v>
      </c>
      <c r="H34" s="158"/>
      <c r="I34" s="159"/>
      <c r="J34" s="159"/>
      <c r="K34" s="159"/>
      <c r="L34" s="159"/>
      <c r="N34" s="342" t="str">
        <f>B34</f>
        <v>Automatically operated flushing cistern</v>
      </c>
      <c r="O34" s="341">
        <f>IF($D$34=0,0,IF($D$35=1,'Activity database'!$AU$11,'Activity database'!$AU$10))</f>
        <v>0</v>
      </c>
      <c r="P34" s="116">
        <f>O34*$G$13</f>
        <v>0</v>
      </c>
      <c r="Q34" s="121">
        <f>P34*$D$35</f>
        <v>0</v>
      </c>
      <c r="R34" s="121" t="e">
        <f>IF(B30=R132,0,$Q$34/O142)</f>
        <v>#DIV/0!</v>
      </c>
      <c r="S34" s="148"/>
      <c r="T34" s="113"/>
      <c r="U34" s="117"/>
      <c r="V34" s="117"/>
      <c r="W34" s="117"/>
      <c r="X34" s="113"/>
      <c r="Y34" s="148"/>
      <c r="Z34" s="144"/>
      <c r="AA34" s="144"/>
      <c r="AC34" s="144"/>
      <c r="AN34" s="144"/>
    </row>
    <row r="35" spans="1:40" ht="15" customHeight="1" x14ac:dyDescent="0.2">
      <c r="A35" s="346" t="str">
        <f>IF(AND(D34&gt;0,D35=""),"&gt;","")</f>
        <v/>
      </c>
      <c r="B35" s="611"/>
      <c r="C35" s="120" t="s">
        <v>88</v>
      </c>
      <c r="D35" s="264"/>
      <c r="E35" s="117"/>
      <c r="F35" s="117"/>
      <c r="G35" s="117"/>
      <c r="I35" s="148"/>
      <c r="J35" s="148"/>
      <c r="K35" s="148"/>
      <c r="L35" s="148"/>
      <c r="M35" s="160"/>
      <c r="N35" s="117"/>
      <c r="O35" s="117"/>
      <c r="P35" s="117"/>
      <c r="Q35" s="117"/>
      <c r="R35" s="117"/>
      <c r="S35" s="148"/>
      <c r="T35" s="113"/>
      <c r="U35" s="113"/>
      <c r="V35" s="140"/>
      <c r="W35" s="113"/>
      <c r="X35" s="113"/>
      <c r="Y35" s="148"/>
      <c r="Z35" s="144"/>
      <c r="AA35" s="144"/>
      <c r="AC35" s="144"/>
      <c r="AN35" s="144"/>
    </row>
    <row r="36" spans="1:40" ht="24.95" customHeight="1" x14ac:dyDescent="0.2">
      <c r="A36" s="113"/>
      <c r="B36" s="546"/>
      <c r="C36" s="538" t="s">
        <v>524</v>
      </c>
      <c r="D36" s="538" t="s">
        <v>621</v>
      </c>
      <c r="E36" s="538" t="s">
        <v>378</v>
      </c>
      <c r="F36" s="538" t="s">
        <v>284</v>
      </c>
      <c r="G36" s="538" t="s">
        <v>396</v>
      </c>
      <c r="H36" s="158"/>
      <c r="I36" s="148"/>
      <c r="J36" s="148"/>
      <c r="K36" s="148"/>
      <c r="L36" s="148"/>
      <c r="M36" s="148"/>
      <c r="N36" s="324" t="s">
        <v>90</v>
      </c>
      <c r="O36" s="138" t="s">
        <v>81</v>
      </c>
      <c r="P36" s="138" t="s">
        <v>378</v>
      </c>
      <c r="Q36" s="138" t="s">
        <v>284</v>
      </c>
      <c r="R36" s="138" t="s">
        <v>82</v>
      </c>
      <c r="S36" s="148"/>
      <c r="T36" s="113"/>
      <c r="U36" s="113"/>
      <c r="V36" s="140"/>
      <c r="W36" s="113"/>
      <c r="X36" s="113"/>
      <c r="Y36" s="148"/>
      <c r="Z36" s="144"/>
      <c r="AA36" s="144"/>
      <c r="AC36" s="144"/>
      <c r="AN36" s="144"/>
    </row>
    <row r="37" spans="1:40" ht="15" customHeight="1" x14ac:dyDescent="0.2">
      <c r="A37" s="113"/>
      <c r="B37" s="610" t="s">
        <v>751</v>
      </c>
      <c r="C37" s="120" t="s">
        <v>539</v>
      </c>
      <c r="D37" s="265"/>
      <c r="E37" s="121">
        <f>IF(B13=Q130,Q138,VLOOKUP($B$13,'Activity database'!$A:$AN,12,FALSE))</f>
        <v>3</v>
      </c>
      <c r="F37" s="121">
        <f>IF(B13=Q130,Q138,VLOOKUP($B$13,'Activity database'!$A:$AN,28,FALSE))</f>
        <v>1</v>
      </c>
      <c r="G37" s="119">
        <f>IF(B13=Q130,Q138,IF(OR(D37=0,E37=0,F37=0,B30=R132),0,(D37*E37*F37)*(VLOOKUP(B13,'Activity database'!A:BA,7,FALSE))*(D38/(D35+D38+D41))))</f>
        <v>0</v>
      </c>
      <c r="H37" s="603" t="str">
        <f>IF(B30=R132,"",N153)</f>
        <v>Note: This consumption total accounts for the ratio of male users for this building type i.e. the ratio of building users who will operate the flush. Where more than one type of urinal flushing control is specified in the building, this consumption figure is adjusted by a ratio of use. the ratio is determined according to the proportion of urinals bowls in the building operated using this type of control.</v>
      </c>
      <c r="I37" s="603"/>
      <c r="J37" s="603"/>
      <c r="K37" s="603"/>
      <c r="L37" s="603"/>
      <c r="M37" s="603"/>
      <c r="N37" s="340" t="str">
        <f>B37</f>
        <v>Manual/automatic operated pressure flushing valve (all activity areas)</v>
      </c>
      <c r="O37" s="116">
        <f>'Activity database'!$AU$12</f>
        <v>1.5</v>
      </c>
      <c r="P37" s="121">
        <f>E37</f>
        <v>3</v>
      </c>
      <c r="Q37" s="121">
        <f>F37</f>
        <v>1</v>
      </c>
      <c r="R37" s="121" t="e">
        <f>IF(B30=R132,0,IF($D$37="",0,$O$37*$P$37*$Q$37*(VLOOKUP(B13,'Activity database'!$A:$BA,7,FALSE)))*(D38/(D35+D38+D41)))</f>
        <v>#DIV/0!</v>
      </c>
      <c r="S37" s="148"/>
      <c r="T37" s="113"/>
      <c r="U37" s="113"/>
      <c r="V37" s="140"/>
      <c r="W37" s="113"/>
      <c r="X37" s="113"/>
      <c r="Y37" s="148"/>
      <c r="Z37" s="148"/>
      <c r="AA37" s="148"/>
      <c r="AB37" s="148"/>
      <c r="AC37" s="144"/>
      <c r="AN37" s="144"/>
    </row>
    <row r="38" spans="1:40" ht="15" customHeight="1" x14ac:dyDescent="0.2">
      <c r="A38" s="346" t="str">
        <f>IF(AND(D37&gt;0,D38=""),"&gt;","")</f>
        <v/>
      </c>
      <c r="B38" s="612"/>
      <c r="C38" s="122" t="s">
        <v>88</v>
      </c>
      <c r="D38" s="264"/>
      <c r="E38" s="117"/>
      <c r="F38" s="117"/>
      <c r="G38" s="117"/>
      <c r="H38" s="603"/>
      <c r="I38" s="603"/>
      <c r="J38" s="603"/>
      <c r="K38" s="603"/>
      <c r="L38" s="603"/>
      <c r="M38" s="603"/>
      <c r="N38" s="140"/>
      <c r="O38" s="333"/>
      <c r="P38" s="117"/>
      <c r="Q38" s="117"/>
      <c r="R38" s="117"/>
      <c r="S38" s="148"/>
      <c r="T38" s="113"/>
      <c r="U38" s="113"/>
      <c r="V38" s="113"/>
      <c r="W38" s="113"/>
      <c r="X38" s="117"/>
      <c r="Y38" s="144"/>
      <c r="Z38" s="144"/>
      <c r="AA38" s="144"/>
      <c r="AC38" s="144"/>
      <c r="AN38" s="144"/>
    </row>
    <row r="39" spans="1:40" ht="24.95" customHeight="1" x14ac:dyDescent="0.2">
      <c r="A39" s="113"/>
      <c r="B39" s="546"/>
      <c r="C39" s="538" t="s">
        <v>524</v>
      </c>
      <c r="D39" s="538" t="s">
        <v>621</v>
      </c>
      <c r="E39" s="538" t="s">
        <v>378</v>
      </c>
      <c r="F39" s="538" t="s">
        <v>284</v>
      </c>
      <c r="G39" s="538" t="s">
        <v>396</v>
      </c>
      <c r="H39" s="603"/>
      <c r="I39" s="603"/>
      <c r="J39" s="603"/>
      <c r="K39" s="603"/>
      <c r="L39" s="603"/>
      <c r="M39" s="603"/>
      <c r="N39" s="324" t="s">
        <v>90</v>
      </c>
      <c r="O39" s="138" t="s">
        <v>81</v>
      </c>
      <c r="P39" s="138" t="s">
        <v>378</v>
      </c>
      <c r="Q39" s="138" t="s">
        <v>284</v>
      </c>
      <c r="R39" s="138" t="s">
        <v>82</v>
      </c>
      <c r="S39" s="148"/>
      <c r="T39" s="113"/>
      <c r="U39" s="113"/>
      <c r="V39" s="113"/>
      <c r="W39" s="113"/>
      <c r="X39" s="113"/>
      <c r="Y39" s="148"/>
      <c r="Z39" s="148"/>
      <c r="AA39" s="148"/>
      <c r="AB39" s="148"/>
      <c r="AC39" s="144"/>
      <c r="AN39" s="144"/>
    </row>
    <row r="40" spans="1:40" ht="15" customHeight="1" x14ac:dyDescent="0.2">
      <c r="A40" s="346" t="str">
        <f>IF(B30=R132,"",IF(D40=$Q$130,"&gt;",""))</f>
        <v>&gt;</v>
      </c>
      <c r="B40" s="610" t="s">
        <v>89</v>
      </c>
      <c r="C40" s="120" t="s">
        <v>539</v>
      </c>
      <c r="D40" s="261" t="s">
        <v>654</v>
      </c>
      <c r="E40" s="121">
        <f>IF(B13=Q130,Q138,VLOOKUP($B$13,'Activity database'!$A:$AN,12,FALSE))</f>
        <v>3</v>
      </c>
      <c r="F40" s="121">
        <f>IF(B13=Q130,Q138,VLOOKUP($B$13,'Activity database'!$A:$AN,28,FALSE))</f>
        <v>1</v>
      </c>
      <c r="G40" s="119">
        <f>IF(B13=Q130,Q138,0)</f>
        <v>0</v>
      </c>
      <c r="H40" s="604" t="str">
        <f>IF(OR(B30=R132,B30=R130,D40=P132),"",IF(AND(D40=P131,D41&gt;0),N154,IF(OR(D40=R130,D40=P131),N155)))</f>
        <v/>
      </c>
      <c r="I40" s="604"/>
      <c r="J40" s="604"/>
      <c r="K40" s="604"/>
      <c r="L40" s="604"/>
      <c r="M40" s="604"/>
      <c r="N40" s="340" t="str">
        <f>B40</f>
        <v>Waterless urinals (all activity areas)</v>
      </c>
      <c r="O40" s="343">
        <f>'Activity database'!$AU$12</f>
        <v>1.5</v>
      </c>
      <c r="P40" s="121">
        <f>E40</f>
        <v>3</v>
      </c>
      <c r="Q40" s="121">
        <f>F40</f>
        <v>1</v>
      </c>
      <c r="R40" s="121" t="e">
        <f>IF(B30=R132,0,IF(OR($D$40="",$D$40=P130,$D$40=P132),0,$O$40*$P$40*$Q$40*(VLOOKUP(B13,'Activity database'!$A:$BA,7,FALSE)))*(D41/(D35+D38+D41)))</f>
        <v>#DIV/0!</v>
      </c>
      <c r="S40" s="148"/>
      <c r="T40" s="148"/>
      <c r="U40" s="148"/>
      <c r="V40" s="148"/>
      <c r="W40" s="148"/>
      <c r="X40" s="148"/>
      <c r="Y40" s="148"/>
      <c r="Z40" s="148"/>
      <c r="AA40" s="148"/>
      <c r="AB40" s="148"/>
      <c r="AC40" s="144"/>
      <c r="AN40" s="144"/>
    </row>
    <row r="41" spans="1:40" ht="15" customHeight="1" x14ac:dyDescent="0.2">
      <c r="A41" s="346" t="str">
        <f>IF(AND(D40=P131,D41=""),"&gt;","")</f>
        <v/>
      </c>
      <c r="B41" s="613"/>
      <c r="C41" s="122" t="s">
        <v>88</v>
      </c>
      <c r="D41" s="264"/>
      <c r="E41" s="117"/>
      <c r="F41" s="117"/>
      <c r="G41" s="117"/>
      <c r="H41" s="604"/>
      <c r="I41" s="604"/>
      <c r="J41" s="604"/>
      <c r="K41" s="604"/>
      <c r="L41" s="604"/>
      <c r="M41" s="604"/>
      <c r="N41" s="148"/>
      <c r="O41" s="148"/>
      <c r="P41" s="148"/>
      <c r="Q41" s="148"/>
      <c r="R41" s="148"/>
      <c r="S41" s="148"/>
      <c r="T41" s="113"/>
      <c r="U41" s="113"/>
      <c r="V41" s="113"/>
      <c r="W41" s="113"/>
      <c r="X41" s="113"/>
      <c r="Y41" s="113"/>
      <c r="Z41" s="113"/>
      <c r="AA41" s="113"/>
      <c r="AB41" s="148"/>
      <c r="AC41" s="144"/>
      <c r="AN41" s="144"/>
    </row>
    <row r="42" spans="1:40" ht="18" customHeight="1" x14ac:dyDescent="0.2">
      <c r="A42" s="113"/>
      <c r="B42" s="113"/>
      <c r="C42" s="113"/>
      <c r="D42" s="113"/>
      <c r="E42" s="113"/>
      <c r="F42" s="113"/>
      <c r="G42" s="114"/>
      <c r="H42" s="604"/>
      <c r="I42" s="604"/>
      <c r="J42" s="604"/>
      <c r="K42" s="604"/>
      <c r="L42" s="604"/>
      <c r="M42" s="604"/>
      <c r="N42" s="148"/>
      <c r="O42" s="113"/>
      <c r="P42" s="113"/>
      <c r="Q42" s="113"/>
      <c r="R42" s="113"/>
      <c r="S42" s="113"/>
      <c r="T42" s="113"/>
      <c r="U42" s="113"/>
      <c r="V42" s="113"/>
      <c r="W42" s="113"/>
      <c r="X42" s="113"/>
      <c r="Y42" s="113"/>
      <c r="Z42" s="113"/>
      <c r="AA42" s="113"/>
      <c r="AB42" s="148"/>
      <c r="AC42" s="144"/>
      <c r="AN42" s="144"/>
    </row>
    <row r="43" spans="1:40" ht="24.95" customHeight="1" x14ac:dyDescent="0.2">
      <c r="A43" s="113"/>
      <c r="B43" s="113"/>
      <c r="C43" s="538" t="s">
        <v>524</v>
      </c>
      <c r="D43" s="538" t="s">
        <v>621</v>
      </c>
      <c r="E43" s="538" t="s">
        <v>378</v>
      </c>
      <c r="F43" s="538" t="s">
        <v>284</v>
      </c>
      <c r="G43" s="538" t="s">
        <v>396</v>
      </c>
      <c r="I43" s="117"/>
      <c r="J43" s="148"/>
      <c r="K43" s="148"/>
      <c r="L43" s="148"/>
      <c r="M43" s="148"/>
      <c r="N43" s="148"/>
      <c r="O43" s="117"/>
      <c r="P43" s="117"/>
      <c r="Q43" s="117"/>
      <c r="R43" s="117"/>
      <c r="S43" s="113"/>
      <c r="T43" s="113"/>
      <c r="U43" s="117"/>
      <c r="V43" s="117"/>
      <c r="W43" s="117"/>
      <c r="X43" s="113"/>
      <c r="Y43" s="113"/>
      <c r="Z43" s="113"/>
      <c r="AA43" s="113"/>
      <c r="AB43" s="148"/>
      <c r="AC43" s="144"/>
      <c r="AN43" s="144"/>
    </row>
    <row r="44" spans="1:40" ht="24.95" customHeight="1" x14ac:dyDescent="0.2">
      <c r="A44" s="113"/>
      <c r="B44" s="549" t="s">
        <v>537</v>
      </c>
      <c r="C44" s="547"/>
      <c r="D44" s="547"/>
      <c r="E44" s="547"/>
      <c r="F44" s="547"/>
      <c r="G44" s="548"/>
      <c r="I44" s="117"/>
      <c r="J44" s="148"/>
      <c r="K44" s="148"/>
      <c r="L44" s="148"/>
      <c r="M44" s="148"/>
      <c r="N44" s="143" t="s">
        <v>537</v>
      </c>
      <c r="O44" s="337" t="s">
        <v>517</v>
      </c>
      <c r="P44" s="337" t="s">
        <v>378</v>
      </c>
      <c r="Q44" s="337" t="s">
        <v>284</v>
      </c>
      <c r="R44" s="139" t="s">
        <v>82</v>
      </c>
      <c r="S44" s="148"/>
      <c r="T44" s="113"/>
      <c r="U44" s="117"/>
      <c r="V44" s="117"/>
      <c r="W44" s="117"/>
      <c r="X44" s="113"/>
      <c r="Y44" s="113"/>
      <c r="Z44" s="113"/>
      <c r="AA44" s="113"/>
      <c r="AB44" s="148"/>
      <c r="AC44" s="144"/>
      <c r="AN44" s="144"/>
    </row>
    <row r="45" spans="1:40" ht="15" customHeight="1" x14ac:dyDescent="0.2">
      <c r="A45" s="113"/>
      <c r="B45" s="202" t="str">
        <f>'Activity database'!M3</f>
        <v>Wash hand basin taps</v>
      </c>
      <c r="C45" s="121" t="s">
        <v>526</v>
      </c>
      <c r="D45" s="264"/>
      <c r="E45" s="121">
        <f>IF(B13=Q130,Q138,VLOOKUP($B$13,'Activity database'!$A:$AN,13,FALSE))</f>
        <v>4</v>
      </c>
      <c r="F45" s="121">
        <f>IF(B13=Q130,Q138,VLOOKUP($B$13,'Activity database'!$A:$AN,29,FALSE))</f>
        <v>0.25</v>
      </c>
      <c r="G45" s="119">
        <f>IF(B13=Q130,Q138,(D45*E45*F45)*VLOOKUP(B13,'Activity database'!A:AR,44,FALSE))</f>
        <v>0</v>
      </c>
      <c r="I45" s="148"/>
      <c r="J45" s="148"/>
      <c r="K45" s="148"/>
      <c r="L45" s="148"/>
      <c r="M45" s="148"/>
      <c r="N45" s="329" t="str">
        <f t="shared" ref="N45:N50" si="0">B45</f>
        <v>Wash hand basin taps</v>
      </c>
      <c r="O45" s="330">
        <f>IF($D$45="",0,VLOOKUP($N$45,'Activity database'!$AT:$BA,2,FALSE))</f>
        <v>0</v>
      </c>
      <c r="P45" s="330">
        <f t="shared" ref="P45:Q49" si="1">E45</f>
        <v>4</v>
      </c>
      <c r="Q45" s="330">
        <f t="shared" si="1"/>
        <v>0.25</v>
      </c>
      <c r="R45" s="121">
        <f>IF($D$45="",0,(O45*$P$45*$Q$45)*(VLOOKUP($B$13,'Activity database'!$A:$AR,44,FALSE)))</f>
        <v>0</v>
      </c>
      <c r="S45" s="148"/>
      <c r="T45" s="113"/>
      <c r="U45" s="117"/>
      <c r="V45" s="117"/>
      <c r="W45" s="117"/>
      <c r="X45" s="113"/>
      <c r="Y45" s="113"/>
      <c r="Z45" s="113"/>
      <c r="AA45" s="113"/>
      <c r="AB45" s="148"/>
      <c r="AC45" s="144"/>
      <c r="AN45" s="144"/>
    </row>
    <row r="46" spans="1:40" ht="15" customHeight="1" x14ac:dyDescent="0.2">
      <c r="A46" s="346"/>
      <c r="B46" s="130" t="str">
        <f>'Activity database'!N3</f>
        <v>Shower use</v>
      </c>
      <c r="C46" s="121" t="s">
        <v>526</v>
      </c>
      <c r="D46" s="264"/>
      <c r="E46" s="131">
        <f>IF(B13=Q130,Q138,VLOOKUP($B$13,'Activity database'!$A:$AN,14,FALSE))</f>
        <v>0.03</v>
      </c>
      <c r="F46" s="121">
        <f>IF(B13=Q130,Q138,VLOOKUP($B$13,'Activity database'!$A:$AN,30,FALSE))</f>
        <v>5.6</v>
      </c>
      <c r="G46" s="119">
        <f>IF(B13=Q130,Q138,IF(B46=Q130,Q138,D46*E46*F46))</f>
        <v>0</v>
      </c>
      <c r="I46" s="148"/>
      <c r="J46" s="148"/>
      <c r="K46" s="148"/>
      <c r="L46" s="148"/>
      <c r="M46" s="148"/>
      <c r="N46" s="123" t="str">
        <f t="shared" si="0"/>
        <v>Shower use</v>
      </c>
      <c r="O46" s="124">
        <f>IF($D$46="",0,'Activity database'!AU8)</f>
        <v>0</v>
      </c>
      <c r="P46" s="125">
        <f t="shared" si="1"/>
        <v>0.03</v>
      </c>
      <c r="Q46" s="125">
        <f t="shared" si="1"/>
        <v>5.6</v>
      </c>
      <c r="R46" s="121">
        <f>IF($D$46="",0,O46*$P$46*$Q$46)</f>
        <v>0</v>
      </c>
      <c r="S46" s="148"/>
      <c r="T46" s="113"/>
      <c r="U46" s="117"/>
      <c r="V46" s="117"/>
      <c r="W46" s="117"/>
      <c r="X46" s="113"/>
      <c r="Y46" s="113"/>
      <c r="Z46" s="113"/>
      <c r="AA46" s="113"/>
      <c r="AB46" s="148"/>
      <c r="AC46" s="144"/>
      <c r="AN46" s="144"/>
    </row>
    <row r="47" spans="1:40" ht="15" hidden="1" customHeight="1" x14ac:dyDescent="0.2">
      <c r="A47" s="290" t="s">
        <v>750</v>
      </c>
      <c r="B47" s="123" t="str">
        <f>'Activity database'!O3</f>
        <v>Shower use (bath present)</v>
      </c>
      <c r="C47" s="124" t="s">
        <v>526</v>
      </c>
      <c r="D47" s="259"/>
      <c r="E47" s="124" t="str">
        <f>VLOOKUP($B$13,'Activity database'!$A:$AN,15,FALSE)</f>
        <v>N/A</v>
      </c>
      <c r="F47" s="124">
        <f>VLOOKUP($B$13,'Activity database'!$A:$AN,31,FALSE)</f>
        <v>4.37</v>
      </c>
      <c r="G47" s="119">
        <f>IF(E47="N/A",0,D47*E47*F47)</f>
        <v>0</v>
      </c>
      <c r="H47" s="510" t="s">
        <v>750</v>
      </c>
      <c r="I47" s="148"/>
      <c r="J47" s="148"/>
      <c r="K47" s="148"/>
      <c r="L47" s="148"/>
      <c r="M47" s="148"/>
      <c r="N47" s="123" t="str">
        <f t="shared" si="0"/>
        <v>Shower use (bath present)</v>
      </c>
      <c r="O47" s="124">
        <f>IF($D$47="",0,'Activity database'!AU8)</f>
        <v>0</v>
      </c>
      <c r="P47" s="125" t="str">
        <f t="shared" si="1"/>
        <v>N/A</v>
      </c>
      <c r="Q47" s="125">
        <f t="shared" si="1"/>
        <v>4.37</v>
      </c>
      <c r="R47" s="121">
        <f>IF($D$47="",0,O47*$P$47*$Q$47)</f>
        <v>0</v>
      </c>
      <c r="S47" s="148"/>
      <c r="T47" s="113"/>
      <c r="U47" s="117"/>
      <c r="V47" s="117"/>
      <c r="W47" s="117"/>
      <c r="X47" s="113"/>
      <c r="Y47" s="113"/>
      <c r="Z47" s="113"/>
      <c r="AA47" s="113"/>
      <c r="AB47" s="148"/>
      <c r="AC47" s="144"/>
      <c r="AN47" s="144"/>
    </row>
    <row r="48" spans="1:40" ht="15" hidden="1" customHeight="1" x14ac:dyDescent="0.2">
      <c r="A48" s="290" t="s">
        <v>750</v>
      </c>
      <c r="B48" s="123" t="str">
        <f>'Activity database'!P3</f>
        <v xml:space="preserve">Bath use (no shower present) </v>
      </c>
      <c r="C48" s="124" t="s">
        <v>527</v>
      </c>
      <c r="D48" s="259"/>
      <c r="E48" s="124" t="str">
        <f>VLOOKUP($B$13,'Activity database'!$A:$AN,16,FALSE)</f>
        <v>N/A</v>
      </c>
      <c r="F48" s="124">
        <f>VLOOKUP($B$13,'Activity database'!$A:$AN,32,FALSE)</f>
        <v>1</v>
      </c>
      <c r="G48" s="119">
        <f>IF(E48="n/a",0,((D48*E48*F48)*'Activity database'!AQ4))</f>
        <v>0</v>
      </c>
      <c r="H48" s="510" t="s">
        <v>750</v>
      </c>
      <c r="I48" s="148"/>
      <c r="J48" s="148"/>
      <c r="K48" s="148"/>
      <c r="L48" s="148"/>
      <c r="M48" s="148"/>
      <c r="N48" s="123" t="str">
        <f t="shared" si="0"/>
        <v xml:space="preserve">Bath use (no shower present) </v>
      </c>
      <c r="O48" s="124">
        <f>IF($D$48="",0,'Activity database'!AU9)</f>
        <v>0</v>
      </c>
      <c r="P48" s="124" t="str">
        <f t="shared" si="1"/>
        <v>N/A</v>
      </c>
      <c r="Q48" s="124">
        <f t="shared" si="1"/>
        <v>1</v>
      </c>
      <c r="R48" s="121">
        <f>IF($D$48="",0,((O48*$P$48*$Q$48)*(VLOOKUP($B$13,'Activity database'!$A:$AR,43,FALSE))))</f>
        <v>0</v>
      </c>
      <c r="S48" s="148"/>
      <c r="T48" s="113"/>
      <c r="U48" s="117"/>
      <c r="V48" s="117"/>
      <c r="W48" s="117"/>
      <c r="X48" s="113"/>
      <c r="Y48" s="113"/>
      <c r="Z48" s="113"/>
      <c r="AA48" s="113"/>
      <c r="AB48" s="148"/>
      <c r="AC48" s="144"/>
      <c r="AN48" s="144"/>
    </row>
    <row r="49" spans="1:40" ht="15" hidden="1" customHeight="1" x14ac:dyDescent="0.2">
      <c r="A49" s="290" t="s">
        <v>750</v>
      </c>
      <c r="B49" s="123" t="str">
        <f>'Activity database'!Q3</f>
        <v>Bath use (shower present)</v>
      </c>
      <c r="C49" s="124" t="s">
        <v>527</v>
      </c>
      <c r="D49" s="259"/>
      <c r="E49" s="124" t="str">
        <f>VLOOKUP($B$13,'Activity database'!$A:$AN,17,FALSE)</f>
        <v>N/A</v>
      </c>
      <c r="F49" s="124">
        <f>VLOOKUP($B$13,'Activity database'!$A:$AN,33,FALSE)</f>
        <v>1</v>
      </c>
      <c r="G49" s="119">
        <f>IF(E49="n/a",0,((D49*E49*F49)*'Activity database'!AQ4))</f>
        <v>0</v>
      </c>
      <c r="H49" s="510" t="s">
        <v>750</v>
      </c>
      <c r="I49" s="148"/>
      <c r="J49" s="148"/>
      <c r="K49" s="148"/>
      <c r="L49" s="148"/>
      <c r="M49" s="148"/>
      <c r="N49" s="123" t="str">
        <f t="shared" si="0"/>
        <v>Bath use (shower present)</v>
      </c>
      <c r="O49" s="124">
        <f>IF($D$49="",0,'Activity database'!AU9)</f>
        <v>0</v>
      </c>
      <c r="P49" s="124" t="str">
        <f t="shared" si="1"/>
        <v>N/A</v>
      </c>
      <c r="Q49" s="124">
        <f t="shared" si="1"/>
        <v>1</v>
      </c>
      <c r="R49" s="121">
        <f>IF($D$49="",0,((O49*$P$49*$Q$49)*(VLOOKUP($B$13,'Activity database'!$A:$AR,43,FALSE))))</f>
        <v>0</v>
      </c>
      <c r="S49" s="148"/>
      <c r="T49" s="113"/>
      <c r="U49" s="117"/>
      <c r="V49" s="117"/>
      <c r="W49" s="117"/>
      <c r="X49" s="113"/>
      <c r="Y49" s="113"/>
      <c r="Z49" s="113"/>
      <c r="AA49" s="113"/>
      <c r="AB49" s="148"/>
      <c r="AC49" s="144"/>
      <c r="AN49" s="144"/>
    </row>
    <row r="50" spans="1:40" ht="15" customHeight="1" x14ac:dyDescent="0.2">
      <c r="A50" s="113"/>
      <c r="B50" s="198" t="str">
        <f>'Activity database'!X3</f>
        <v>Fixed use - vessel filling</v>
      </c>
      <c r="C50" s="199" t="s">
        <v>386</v>
      </c>
      <c r="D50" s="199" t="s">
        <v>521</v>
      </c>
      <c r="E50" s="200" t="s">
        <v>521</v>
      </c>
      <c r="F50" s="199" t="s">
        <v>521</v>
      </c>
      <c r="G50" s="201" t="str">
        <f>IF(B13=Q130,Q138,IF(F20=Q131,'Activity database'!X25+VLOOKUP(B13,'Activity database'!A:BA,24,FALSE),IF(F20=Q132,VLOOKUP(B13,'Activity database'!A:BA,24,FALSE),Q138)))</f>
        <v>Requires building information</v>
      </c>
      <c r="H50" s="619"/>
      <c r="I50" s="603"/>
      <c r="J50" s="603"/>
      <c r="K50" s="603"/>
      <c r="L50" s="603"/>
      <c r="M50" s="603"/>
      <c r="N50" s="123" t="str">
        <f t="shared" si="0"/>
        <v>Fixed use - vessel filling</v>
      </c>
      <c r="O50" s="124" t="s">
        <v>280</v>
      </c>
      <c r="P50" s="124" t="s">
        <v>280</v>
      </c>
      <c r="Q50" s="124" t="s">
        <v>280</v>
      </c>
      <c r="R50" s="121">
        <f>IF(G50=Q138,0,G50)</f>
        <v>0</v>
      </c>
      <c r="S50" s="148"/>
      <c r="T50" s="113"/>
      <c r="U50" s="117"/>
      <c r="V50" s="117"/>
      <c r="W50" s="117"/>
      <c r="X50" s="113"/>
      <c r="Y50" s="113"/>
      <c r="Z50" s="113"/>
      <c r="AA50" s="113"/>
      <c r="AB50" s="148"/>
      <c r="AC50" s="144"/>
      <c r="AN50" s="144"/>
    </row>
    <row r="51" spans="1:40" ht="24.95" customHeight="1" x14ac:dyDescent="0.2">
      <c r="A51" s="113"/>
      <c r="B51" s="549" t="s">
        <v>538</v>
      </c>
      <c r="C51" s="547"/>
      <c r="D51" s="547"/>
      <c r="E51" s="547"/>
      <c r="F51" s="547"/>
      <c r="G51" s="548"/>
      <c r="H51" s="619"/>
      <c r="I51" s="603"/>
      <c r="J51" s="603"/>
      <c r="K51" s="603"/>
      <c r="L51" s="603"/>
      <c r="M51" s="603"/>
      <c r="N51" s="143" t="s">
        <v>538</v>
      </c>
      <c r="O51" s="334"/>
      <c r="P51" s="334"/>
      <c r="Q51" s="334"/>
      <c r="R51" s="335"/>
      <c r="S51" s="148"/>
      <c r="T51" s="113"/>
      <c r="U51" s="117"/>
      <c r="V51" s="117"/>
      <c r="W51" s="117"/>
      <c r="X51" s="113"/>
      <c r="Y51" s="113"/>
      <c r="Z51" s="113"/>
      <c r="AA51" s="113"/>
      <c r="AB51" s="148"/>
      <c r="AC51" s="144"/>
      <c r="AN51" s="144"/>
    </row>
    <row r="52" spans="1:40" ht="15" customHeight="1" x14ac:dyDescent="0.2">
      <c r="A52" s="113"/>
      <c r="B52" s="202" t="str">
        <f>'Activity database'!R3</f>
        <v>Kitchen taps - kitchenette</v>
      </c>
      <c r="C52" s="203" t="s">
        <v>526</v>
      </c>
      <c r="D52" s="266"/>
      <c r="E52" s="351">
        <f>IF(B13=Q130,Q138,VLOOKUP($B$13,'Activity database'!$A:$AN,18,FALSE))</f>
        <v>6.0999999999999999E-2</v>
      </c>
      <c r="F52" s="203">
        <f>VLOOKUP($B$17,'Activity database'!$A:$AN,34,FALSE)</f>
        <v>0.67</v>
      </c>
      <c r="G52" s="204">
        <f>IF(B13=Q130,Q138,(D52*E52*F52)*(VLOOKUP(B13,'Activity database'!A:AR,44,FALSE)))</f>
        <v>0</v>
      </c>
      <c r="I52" s="148"/>
      <c r="J52" s="148"/>
      <c r="K52" s="148"/>
      <c r="L52" s="148"/>
      <c r="M52" s="148"/>
      <c r="N52" s="123" t="str">
        <f>B52</f>
        <v>Kitchen taps - kitchenette</v>
      </c>
      <c r="O52" s="124">
        <f>IF($D$52="",0,VLOOKUP($N$52,'Activity database'!$AT:$BA,2,FALSE))</f>
        <v>0</v>
      </c>
      <c r="P52" s="124">
        <f>E52</f>
        <v>6.0999999999999999E-2</v>
      </c>
      <c r="Q52" s="124">
        <f>F52</f>
        <v>0.67</v>
      </c>
      <c r="R52" s="121">
        <f>IF($D$52="",0,(O52*$P$52*$Q$52)*(VLOOKUP($B$13,'Activity database'!$A:$AR,44,FALSE)))</f>
        <v>0</v>
      </c>
      <c r="S52" s="148"/>
      <c r="T52" s="113"/>
      <c r="U52" s="117"/>
      <c r="V52" s="117"/>
      <c r="W52" s="117"/>
      <c r="X52" s="113"/>
      <c r="Y52" s="113"/>
      <c r="Z52" s="113"/>
      <c r="AA52" s="113"/>
      <c r="AB52" s="148"/>
      <c r="AC52" s="144"/>
      <c r="AN52" s="144"/>
    </row>
    <row r="53" spans="1:40" ht="15" customHeight="1" x14ac:dyDescent="0.2">
      <c r="A53" s="113"/>
      <c r="B53" s="130" t="str">
        <f>'Activity database'!U3</f>
        <v>Dishwasher</v>
      </c>
      <c r="C53" s="121" t="s">
        <v>535</v>
      </c>
      <c r="D53" s="267"/>
      <c r="E53" s="350">
        <f>IF(B13=Q130,Q138,VLOOKUP($B$17,'Activity database'!$A:$AN,21,FALSE))</f>
        <v>2.5000000000000001E-3</v>
      </c>
      <c r="F53" s="124">
        <f>VLOOKUP($B$17,'Activity database'!$A:$AN,37,FALSE)</f>
        <v>1</v>
      </c>
      <c r="G53" s="121">
        <f>IF(B13=Q130,Q138,D53*E53*F53)</f>
        <v>0</v>
      </c>
      <c r="I53" s="148"/>
      <c r="J53" s="148"/>
      <c r="K53" s="148"/>
      <c r="L53" s="148"/>
      <c r="M53" s="148"/>
      <c r="N53" s="123" t="str">
        <f>B53</f>
        <v>Dishwasher</v>
      </c>
      <c r="O53" s="124">
        <f>IF($D$53="",0,'Activity database'!AU16)</f>
        <v>0</v>
      </c>
      <c r="P53" s="124">
        <f>E53</f>
        <v>2.5000000000000001E-3</v>
      </c>
      <c r="Q53" s="124">
        <f>F53</f>
        <v>1</v>
      </c>
      <c r="R53" s="121">
        <f>O53*$P$53*$Q$53</f>
        <v>0</v>
      </c>
      <c r="S53" s="148"/>
      <c r="T53" s="113"/>
      <c r="U53" s="117"/>
      <c r="V53" s="117"/>
      <c r="W53" s="117"/>
      <c r="X53" s="113"/>
      <c r="Y53" s="113"/>
      <c r="Z53" s="113"/>
      <c r="AA53" s="113"/>
      <c r="AB53" s="148"/>
      <c r="AC53" s="144"/>
      <c r="AN53" s="144"/>
    </row>
    <row r="54" spans="1:40" ht="24.95" customHeight="1" x14ac:dyDescent="0.2">
      <c r="A54" s="113"/>
      <c r="B54" s="540" t="s">
        <v>847</v>
      </c>
      <c r="C54" s="547"/>
      <c r="D54" s="547"/>
      <c r="E54" s="547"/>
      <c r="F54" s="547"/>
      <c r="G54" s="548"/>
      <c r="I54" s="148"/>
      <c r="J54" s="148"/>
      <c r="K54" s="148"/>
      <c r="L54" s="148"/>
      <c r="M54" s="148"/>
      <c r="N54" s="143" t="s">
        <v>93</v>
      </c>
      <c r="O54" s="334"/>
      <c r="P54" s="334"/>
      <c r="Q54" s="334"/>
      <c r="R54" s="335"/>
      <c r="S54" s="148"/>
      <c r="T54" s="113"/>
      <c r="U54" s="117"/>
      <c r="V54" s="117"/>
      <c r="W54" s="117"/>
      <c r="X54" s="113"/>
      <c r="Y54" s="113"/>
      <c r="Z54" s="113"/>
      <c r="AA54" s="113"/>
      <c r="AB54" s="148"/>
      <c r="AC54" s="144"/>
      <c r="AN54" s="144"/>
    </row>
    <row r="55" spans="1:40" ht="15" customHeight="1" x14ac:dyDescent="0.2">
      <c r="A55" s="113"/>
      <c r="B55" s="130" t="str">
        <f>'Activity database'!S3</f>
        <v>Kitchen taps - pre-rinse nozzle</v>
      </c>
      <c r="C55" s="129" t="s">
        <v>526</v>
      </c>
      <c r="D55" s="267"/>
      <c r="E55" s="124" t="s">
        <v>521</v>
      </c>
      <c r="F55" s="124">
        <f>VLOOKUP($B$19,'Activity database'!A:BO,35,FALSE)</f>
        <v>60</v>
      </c>
      <c r="G55" s="121" t="str">
        <f>IF(ISERROR((D55*F55)/O142),Q138,((D55*F55)/O142))</f>
        <v>Requires building information</v>
      </c>
      <c r="I55" s="148"/>
      <c r="J55" s="148"/>
      <c r="K55" s="148"/>
      <c r="L55" s="148"/>
      <c r="M55" s="148"/>
      <c r="N55" s="123" t="str">
        <f t="shared" ref="N55:N60" si="2">B55</f>
        <v>Kitchen taps - pre-rinse nozzle</v>
      </c>
      <c r="O55" s="124">
        <f>IF($D$55="",0,VLOOKUP($N$55,'Activity database'!$AT:$BA,2,FALSE))</f>
        <v>0</v>
      </c>
      <c r="P55" s="124" t="str">
        <f t="shared" ref="P55:Q58" si="3">E55</f>
        <v>-</v>
      </c>
      <c r="Q55" s="124">
        <f t="shared" si="3"/>
        <v>60</v>
      </c>
      <c r="R55" s="121">
        <f>IF($D$55="",0,(O55*$Q$55)/$O$142)</f>
        <v>0</v>
      </c>
      <c r="S55" s="148"/>
      <c r="T55" s="113"/>
      <c r="U55" s="117"/>
      <c r="V55" s="117"/>
      <c r="W55" s="117"/>
      <c r="X55" s="113"/>
      <c r="Y55" s="113"/>
      <c r="Z55" s="113"/>
      <c r="AA55" s="113"/>
      <c r="AB55" s="148"/>
      <c r="AC55" s="144"/>
      <c r="AN55" s="144"/>
    </row>
    <row r="56" spans="1:40" ht="15" customHeight="1" x14ac:dyDescent="0.2">
      <c r="A56" s="113"/>
      <c r="B56" s="130" t="str">
        <f>'Activity database'!U3</f>
        <v>Dishwasher</v>
      </c>
      <c r="C56" s="129" t="s">
        <v>103</v>
      </c>
      <c r="D56" s="267"/>
      <c r="E56" s="124" t="s">
        <v>521</v>
      </c>
      <c r="F56" s="125">
        <f>VLOOKUP($B$19,'Activity database'!A:BO,37,FALSE)</f>
        <v>0.248</v>
      </c>
      <c r="G56" s="121" t="str">
        <f>IF(ISERROR((F56*G19*D56)/O142),Q138,((F56*G19*D56)/O142))</f>
        <v>Requires building information</v>
      </c>
      <c r="I56" s="148"/>
      <c r="J56" s="148"/>
      <c r="K56" s="148"/>
      <c r="L56" s="148"/>
      <c r="M56" s="148"/>
      <c r="N56" s="123" t="str">
        <f t="shared" si="2"/>
        <v>Dishwasher</v>
      </c>
      <c r="O56" s="124">
        <f>IF($D$56="",0,'Activity database'!AU19)</f>
        <v>0</v>
      </c>
      <c r="P56" s="124" t="str">
        <f t="shared" si="3"/>
        <v>-</v>
      </c>
      <c r="Q56" s="124">
        <f t="shared" si="3"/>
        <v>0.248</v>
      </c>
      <c r="R56" s="121">
        <f>IF($D$56="",0,($Q$56*$G$19*O56)/$O$142)</f>
        <v>0</v>
      </c>
      <c r="S56" s="148"/>
      <c r="T56" s="113"/>
      <c r="U56" s="117"/>
      <c r="V56" s="117"/>
      <c r="W56" s="117"/>
      <c r="X56" s="113"/>
      <c r="Y56" s="113"/>
      <c r="Z56" s="113"/>
      <c r="AA56" s="113"/>
      <c r="AB56" s="148"/>
      <c r="AC56" s="144"/>
      <c r="AN56" s="144"/>
    </row>
    <row r="57" spans="1:40" ht="15" customHeight="1" x14ac:dyDescent="0.2">
      <c r="A57" s="113"/>
      <c r="B57" s="130" t="str">
        <f>'Activity database'!W3</f>
        <v>Waste disposal unit</v>
      </c>
      <c r="C57" s="129" t="s">
        <v>526</v>
      </c>
      <c r="D57" s="267"/>
      <c r="E57" s="124" t="s">
        <v>521</v>
      </c>
      <c r="F57" s="124">
        <f>VLOOKUP($B$19,'Activity database'!A:BO,39,FALSE)</f>
        <v>30</v>
      </c>
      <c r="G57" s="121" t="str">
        <f>IF(ISERROR((D57*F57)/O142),Q138,((D57*F57)/O142))</f>
        <v>Requires building information</v>
      </c>
      <c r="I57" s="148"/>
      <c r="J57" s="148"/>
      <c r="K57" s="148"/>
      <c r="L57" s="148"/>
      <c r="M57" s="148"/>
      <c r="N57" s="123" t="str">
        <f t="shared" si="2"/>
        <v>Waste disposal unit</v>
      </c>
      <c r="O57" s="124">
        <f>IF($D$57="",0,VLOOKUP($N$57,'Activity database'!$AT:$BA,2,FALSE))</f>
        <v>0</v>
      </c>
      <c r="P57" s="124" t="str">
        <f t="shared" si="3"/>
        <v>-</v>
      </c>
      <c r="Q57" s="124">
        <f t="shared" si="3"/>
        <v>30</v>
      </c>
      <c r="R57" s="121">
        <f>IF($D$57="",0,(O57*$Q$57)/$O$142)</f>
        <v>0</v>
      </c>
      <c r="S57" s="148"/>
      <c r="T57" s="113"/>
      <c r="U57" s="117"/>
      <c r="V57" s="117"/>
      <c r="W57" s="117"/>
      <c r="X57" s="113"/>
      <c r="Y57" s="113"/>
      <c r="Z57" s="113"/>
      <c r="AA57" s="113"/>
      <c r="AB57" s="148"/>
      <c r="AC57" s="144"/>
      <c r="AN57" s="144"/>
    </row>
    <row r="58" spans="1:40" ht="15" hidden="1" customHeight="1" x14ac:dyDescent="0.2">
      <c r="A58" s="290" t="s">
        <v>750</v>
      </c>
      <c r="B58" s="130" t="str">
        <f>'Activity database'!V3</f>
        <v>Washing machine</v>
      </c>
      <c r="C58" s="129" t="s">
        <v>528</v>
      </c>
      <c r="D58" s="260"/>
      <c r="E58" s="124" t="str">
        <f>VLOOKUP($B$13,'Activity database'!$A:$AN,22,FALSE)</f>
        <v>N/A</v>
      </c>
      <c r="F58" s="124" t="str">
        <f>VLOOKUP($B$13,'Activity database'!$A:$AN,38,FALSE)</f>
        <v>-</v>
      </c>
      <c r="G58" s="121">
        <f>IF(ISERROR(IF(E58="N/A",0,IF(F19="Yes",(D58*E58*F58),0))),Q138,IF(E58="N/A",0,IF(F19="Yes",(D58*E58*F58),0)))</f>
        <v>0</v>
      </c>
      <c r="H58" s="510" t="s">
        <v>750</v>
      </c>
      <c r="I58" s="148"/>
      <c r="J58" s="148"/>
      <c r="K58" s="148"/>
      <c r="L58" s="148"/>
      <c r="M58" s="148"/>
      <c r="N58" s="123" t="str">
        <f t="shared" si="2"/>
        <v>Washing machine</v>
      </c>
      <c r="O58" s="124">
        <f>IF($D$58="",0,'Activity database'!AU20)</f>
        <v>0</v>
      </c>
      <c r="P58" s="124" t="str">
        <f t="shared" si="3"/>
        <v>N/A</v>
      </c>
      <c r="Q58" s="124" t="str">
        <f t="shared" si="3"/>
        <v>-</v>
      </c>
      <c r="R58" s="121">
        <f>IF($D$58="",0,IF($F$19="Yes",(O58*$P$58*$Q$58)))</f>
        <v>0</v>
      </c>
      <c r="S58" s="148"/>
      <c r="T58" s="113"/>
      <c r="U58" s="117"/>
      <c r="V58" s="117"/>
      <c r="W58" s="117"/>
      <c r="X58" s="113"/>
      <c r="Y58" s="113"/>
      <c r="Z58" s="113"/>
      <c r="AA58" s="113"/>
      <c r="AB58" s="148"/>
      <c r="AC58" s="144"/>
      <c r="AN58" s="144"/>
    </row>
    <row r="59" spans="1:40" ht="15" customHeight="1" x14ac:dyDescent="0.2">
      <c r="A59" s="113"/>
      <c r="B59" s="130" t="str">
        <f>'Activity database'!Y3</f>
        <v>Fixed use - food preparation</v>
      </c>
      <c r="C59" s="129" t="s">
        <v>386</v>
      </c>
      <c r="D59" s="124" t="s">
        <v>521</v>
      </c>
      <c r="E59" s="124" t="s">
        <v>521</v>
      </c>
      <c r="F59" s="124" t="s">
        <v>521</v>
      </c>
      <c r="G59" s="121">
        <f>IF(ISERROR(IF(F19="Yes",(VLOOKUP(B19,'Activity database'!A:BO,25,FALSE)/O142),0)),Q138,IF(F19="Yes",(VLOOKUP(B19,'Activity database'!A:BO,25,FALSE)/O142),0))</f>
        <v>0</v>
      </c>
      <c r="H59" s="619"/>
      <c r="I59" s="603"/>
      <c r="J59" s="603"/>
      <c r="K59" s="603"/>
      <c r="L59" s="603"/>
      <c r="M59" s="603"/>
      <c r="N59" s="123" t="str">
        <f t="shared" si="2"/>
        <v>Fixed use - food preparation</v>
      </c>
      <c r="O59" s="124" t="s">
        <v>280</v>
      </c>
      <c r="P59" s="124" t="str">
        <f>E59</f>
        <v>-</v>
      </c>
      <c r="Q59" s="124" t="s">
        <v>280</v>
      </c>
      <c r="R59" s="121">
        <f>$G$59</f>
        <v>0</v>
      </c>
      <c r="S59" s="148"/>
      <c r="T59" s="113"/>
      <c r="U59" s="117"/>
      <c r="V59" s="117"/>
      <c r="W59" s="117"/>
      <c r="X59" s="113"/>
      <c r="Y59" s="113"/>
      <c r="Z59" s="113"/>
      <c r="AA59" s="113"/>
      <c r="AB59" s="148"/>
      <c r="AC59" s="144"/>
      <c r="AN59" s="144"/>
    </row>
    <row r="60" spans="1:40" ht="15" customHeight="1" x14ac:dyDescent="0.2">
      <c r="A60" s="113"/>
      <c r="B60" s="130" t="str">
        <f>'Activity database'!Z3</f>
        <v>Fixed use - kitchen cleaning</v>
      </c>
      <c r="C60" s="129" t="s">
        <v>386</v>
      </c>
      <c r="D60" s="124" t="s">
        <v>521</v>
      </c>
      <c r="E60" s="124" t="s">
        <v>521</v>
      </c>
      <c r="F60" s="124" t="s">
        <v>521</v>
      </c>
      <c r="G60" s="121">
        <f>IF(ISERROR(IF(F19="Yes",(VLOOKUP(B19,'Activity database'!A:BO,26,FALSE)/O142),0)),Q138,(IF(F19="Yes",(VLOOKUP(B19,'Activity database'!A:BO,26,FALSE)/O142),0)))</f>
        <v>0</v>
      </c>
      <c r="H60" s="619"/>
      <c r="I60" s="603"/>
      <c r="J60" s="603"/>
      <c r="K60" s="603"/>
      <c r="L60" s="603"/>
      <c r="M60" s="603"/>
      <c r="N60" s="123" t="str">
        <f t="shared" si="2"/>
        <v>Fixed use - kitchen cleaning</v>
      </c>
      <c r="O60" s="124" t="s">
        <v>280</v>
      </c>
      <c r="P60" s="124" t="str">
        <f>E60</f>
        <v>-</v>
      </c>
      <c r="Q60" s="124" t="s">
        <v>280</v>
      </c>
      <c r="R60" s="121">
        <f>$G$60</f>
        <v>0</v>
      </c>
      <c r="S60" s="148"/>
      <c r="T60" s="113"/>
      <c r="U60" s="117"/>
      <c r="V60" s="117"/>
      <c r="W60" s="117"/>
      <c r="X60" s="113"/>
      <c r="Y60" s="113"/>
      <c r="Z60" s="113"/>
      <c r="AA60" s="113"/>
      <c r="AB60" s="148"/>
      <c r="AC60" s="144"/>
      <c r="AN60" s="144"/>
    </row>
    <row r="61" spans="1:40" ht="15" customHeight="1" x14ac:dyDescent="0.2">
      <c r="A61" s="113"/>
      <c r="B61" s="113"/>
      <c r="C61" s="113"/>
      <c r="D61" s="113"/>
      <c r="E61" s="113"/>
      <c r="F61" s="113"/>
      <c r="G61" s="113"/>
      <c r="I61" s="148"/>
      <c r="J61" s="148"/>
      <c r="K61" s="148"/>
      <c r="L61" s="148"/>
      <c r="M61" s="148"/>
      <c r="N61" s="148"/>
      <c r="O61" s="148"/>
      <c r="P61" s="148"/>
      <c r="Q61" s="148"/>
      <c r="R61" s="148"/>
      <c r="S61" s="148"/>
      <c r="T61" s="113"/>
      <c r="U61" s="117"/>
      <c r="V61" s="117"/>
      <c r="W61" s="117"/>
      <c r="X61" s="113"/>
      <c r="Y61" s="113"/>
      <c r="Z61" s="113"/>
      <c r="AA61" s="113"/>
      <c r="AB61" s="148"/>
      <c r="AC61" s="144"/>
      <c r="AN61" s="144"/>
    </row>
    <row r="62" spans="1:40" ht="24.95" customHeight="1" x14ac:dyDescent="0.2">
      <c r="A62" s="113"/>
      <c r="B62" s="320"/>
      <c r="C62" s="113"/>
      <c r="D62" s="113"/>
      <c r="E62" s="113"/>
      <c r="F62" s="113"/>
      <c r="G62" s="538" t="s">
        <v>657</v>
      </c>
      <c r="H62" s="604" t="s">
        <v>951</v>
      </c>
      <c r="I62" s="604"/>
      <c r="J62" s="604"/>
      <c r="K62" s="604"/>
      <c r="L62" s="604"/>
      <c r="M62" s="604"/>
      <c r="N62" s="148"/>
      <c r="O62" s="148"/>
      <c r="P62" s="148"/>
      <c r="Q62" s="113"/>
      <c r="R62" s="138" t="s">
        <v>82</v>
      </c>
      <c r="S62" s="148"/>
      <c r="T62" s="113"/>
      <c r="U62" s="117"/>
      <c r="V62" s="117"/>
      <c r="W62" s="117"/>
      <c r="X62" s="113"/>
      <c r="Y62" s="113"/>
      <c r="Z62" s="113"/>
      <c r="AA62" s="113"/>
      <c r="AB62" s="148"/>
      <c r="AC62" s="144"/>
      <c r="AN62" s="144"/>
    </row>
    <row r="63" spans="1:40" ht="15" customHeight="1" x14ac:dyDescent="0.2">
      <c r="A63" s="113"/>
      <c r="B63" s="113"/>
      <c r="C63" s="113"/>
      <c r="D63" s="113"/>
      <c r="E63" s="113"/>
      <c r="F63" s="140" t="s">
        <v>5</v>
      </c>
      <c r="G63" s="119" t="str">
        <f>IF(OR(G30=Q138,AND(F16=Q132,F17=Q132,F18=Q132,F19=Q132,F20=Q132,F21=Q132,F22=Q132,F23=Q132,F24=Q132,F25=Q132)),Q138,(SUM(G30:G31)+G34+G37+G40+SUM(G45:G50)+SUM(G52:G53)+SUM(G55:G60)))</f>
        <v>Requires building information</v>
      </c>
      <c r="H63" s="604"/>
      <c r="I63" s="604"/>
      <c r="J63" s="604"/>
      <c r="K63" s="604"/>
      <c r="L63" s="604"/>
      <c r="M63" s="604"/>
      <c r="N63" s="148"/>
      <c r="O63" s="148"/>
      <c r="P63" s="148"/>
      <c r="Q63" s="140" t="s">
        <v>630</v>
      </c>
      <c r="R63" s="119" t="e">
        <f>SUM(R30+R31)+R34+R37+R40+SUM(R45:R50)+SUM(R52:R53)+SUM(R55:R60)-R66</f>
        <v>#DIV/0!</v>
      </c>
      <c r="S63" s="148"/>
      <c r="T63" s="113"/>
      <c r="U63" s="117"/>
      <c r="V63" s="117"/>
      <c r="W63" s="117"/>
      <c r="X63" s="113"/>
      <c r="Y63" s="113"/>
      <c r="Z63" s="113"/>
      <c r="AA63" s="113"/>
      <c r="AB63" s="148"/>
      <c r="AC63" s="144"/>
      <c r="AN63" s="144"/>
    </row>
    <row r="64" spans="1:40" ht="24.95" customHeight="1" x14ac:dyDescent="0.2">
      <c r="A64" s="113"/>
      <c r="B64" s="113"/>
      <c r="C64" s="113"/>
      <c r="D64" s="137"/>
      <c r="E64" s="137"/>
      <c r="F64" s="137"/>
      <c r="G64" s="114"/>
      <c r="H64" s="604"/>
      <c r="I64" s="604"/>
      <c r="J64" s="604"/>
      <c r="K64" s="604"/>
      <c r="L64" s="604"/>
      <c r="M64" s="604"/>
      <c r="N64" s="113"/>
      <c r="O64" s="137"/>
      <c r="P64" s="164"/>
      <c r="Q64" s="164"/>
      <c r="R64" s="164"/>
      <c r="S64" s="148"/>
      <c r="T64" s="113"/>
      <c r="U64" s="117"/>
      <c r="V64" s="117"/>
      <c r="W64" s="117"/>
      <c r="X64" s="113"/>
      <c r="Y64" s="113"/>
      <c r="Z64" s="113"/>
      <c r="AA64" s="113"/>
      <c r="AB64" s="148"/>
      <c r="AC64" s="144"/>
      <c r="AN64" s="144"/>
    </row>
    <row r="65" spans="1:40" ht="32.1" customHeight="1" x14ac:dyDescent="0.2">
      <c r="A65" s="113"/>
      <c r="B65" s="516" t="s">
        <v>627</v>
      </c>
      <c r="C65" s="516"/>
      <c r="D65" s="516"/>
      <c r="E65" s="516"/>
      <c r="F65" s="516"/>
      <c r="G65" s="516"/>
      <c r="H65" s="148"/>
      <c r="I65" s="144"/>
      <c r="J65" s="144"/>
      <c r="K65" s="144"/>
      <c r="L65" s="144"/>
      <c r="M65" s="144"/>
      <c r="N65" s="117"/>
      <c r="O65" s="117"/>
      <c r="P65" s="148"/>
      <c r="Q65" s="113"/>
      <c r="R65" s="138" t="s">
        <v>952</v>
      </c>
      <c r="S65" s="148"/>
      <c r="T65" s="113"/>
      <c r="U65" s="117"/>
      <c r="V65" s="117"/>
      <c r="W65" s="117"/>
      <c r="X65" s="113"/>
      <c r="Y65" s="113"/>
      <c r="Z65" s="113"/>
      <c r="AA65" s="113"/>
      <c r="AB65" s="148"/>
      <c r="AC65" s="144"/>
      <c r="AN65" s="144"/>
    </row>
    <row r="66" spans="1:40" ht="24.95" customHeight="1" x14ac:dyDescent="0.2">
      <c r="A66" s="113"/>
      <c r="B66" s="113"/>
      <c r="C66" s="113"/>
      <c r="D66" s="113"/>
      <c r="E66" s="113"/>
      <c r="F66" s="113"/>
      <c r="G66" s="114"/>
      <c r="H66" s="148"/>
      <c r="I66" s="144"/>
      <c r="J66" s="144"/>
      <c r="K66" s="144"/>
      <c r="L66" s="144"/>
      <c r="M66" s="144"/>
      <c r="N66" s="117"/>
      <c r="O66" s="117"/>
      <c r="P66" s="148"/>
      <c r="Q66" s="332" t="s">
        <v>630</v>
      </c>
      <c r="R66" s="119">
        <f>R50+R59+R60</f>
        <v>0</v>
      </c>
      <c r="S66" s="148"/>
      <c r="T66" s="113"/>
      <c r="U66" s="117"/>
      <c r="V66" s="117"/>
      <c r="W66" s="117"/>
      <c r="X66" s="113"/>
      <c r="Y66" s="148"/>
      <c r="Z66" s="148"/>
      <c r="AA66" s="148"/>
      <c r="AB66" s="148"/>
      <c r="AC66" s="144"/>
      <c r="AN66" s="144"/>
    </row>
    <row r="67" spans="1:40" ht="15" customHeight="1" x14ac:dyDescent="0.2">
      <c r="A67" s="346" t="str">
        <f>IF(G67=$Q$130,"&gt;","")</f>
        <v/>
      </c>
      <c r="B67" s="115"/>
      <c r="C67" s="132"/>
      <c r="D67" s="133"/>
      <c r="E67" s="133"/>
      <c r="F67" s="134" t="s">
        <v>993</v>
      </c>
      <c r="G67" s="268" t="s">
        <v>522</v>
      </c>
      <c r="H67" s="148"/>
      <c r="I67" s="144"/>
      <c r="J67" s="144"/>
      <c r="K67" s="144"/>
      <c r="L67" s="144"/>
      <c r="M67" s="144"/>
      <c r="N67" s="117"/>
      <c r="O67" s="117"/>
      <c r="P67" s="148"/>
      <c r="Q67" s="148"/>
      <c r="R67" s="148"/>
      <c r="S67" s="148"/>
      <c r="T67" s="113"/>
      <c r="U67" s="117"/>
      <c r="V67" s="117"/>
      <c r="W67" s="117"/>
      <c r="X67" s="113"/>
      <c r="Y67" s="148"/>
      <c r="Z67" s="148"/>
      <c r="AA67" s="148"/>
      <c r="AB67" s="148"/>
      <c r="AC67" s="144"/>
      <c r="AN67" s="144"/>
    </row>
    <row r="68" spans="1:40" ht="12" customHeight="1" x14ac:dyDescent="0.2">
      <c r="A68" s="113"/>
      <c r="B68" s="113"/>
      <c r="C68" s="141"/>
      <c r="D68" s="113"/>
      <c r="E68" s="113"/>
      <c r="F68" s="113"/>
      <c r="G68" s="114"/>
      <c r="H68" s="148"/>
      <c r="I68" s="144"/>
      <c r="J68" s="144"/>
      <c r="K68" s="144"/>
      <c r="L68" s="144"/>
      <c r="M68" s="144"/>
      <c r="N68" s="117"/>
      <c r="O68" s="117"/>
      <c r="P68" s="144"/>
      <c r="Q68" s="144"/>
      <c r="R68" s="144"/>
      <c r="S68" s="144"/>
      <c r="T68" s="117"/>
      <c r="U68" s="117"/>
      <c r="V68" s="117"/>
      <c r="W68" s="117"/>
      <c r="X68" s="117"/>
      <c r="Y68" s="144"/>
      <c r="Z68" s="144"/>
      <c r="AA68" s="144"/>
      <c r="AC68" s="144"/>
      <c r="AN68" s="144"/>
    </row>
    <row r="69" spans="1:40" ht="24.95" customHeight="1" x14ac:dyDescent="0.2">
      <c r="A69" s="113"/>
      <c r="B69" s="113"/>
      <c r="C69" s="540" t="s">
        <v>115</v>
      </c>
      <c r="D69" s="538"/>
      <c r="E69" s="538" t="s">
        <v>529</v>
      </c>
      <c r="F69" s="538" t="s">
        <v>169</v>
      </c>
      <c r="G69" s="538" t="s">
        <v>910</v>
      </c>
      <c r="H69" s="148"/>
      <c r="I69" s="144"/>
      <c r="J69" s="144"/>
      <c r="K69" s="144"/>
      <c r="L69" s="144"/>
      <c r="M69" s="144"/>
      <c r="N69" s="117"/>
      <c r="O69" s="117"/>
      <c r="P69" s="144"/>
      <c r="Q69" s="144"/>
      <c r="R69" s="144"/>
      <c r="S69" s="144"/>
      <c r="T69" s="117"/>
      <c r="U69" s="117"/>
      <c r="V69" s="117"/>
      <c r="W69" s="117"/>
      <c r="X69" s="117"/>
      <c r="Y69" s="144"/>
      <c r="Z69" s="144"/>
      <c r="AA69" s="144"/>
      <c r="AC69" s="144"/>
      <c r="AN69" s="144"/>
    </row>
    <row r="70" spans="1:40" ht="15" customHeight="1" x14ac:dyDescent="0.2">
      <c r="A70" s="113"/>
      <c r="B70" s="346" t="str">
        <f t="shared" ref="B70:B73" si="4">IF(AND($G$67=$Q$131,E70=""),"&gt;",IF(AND($G$67=$Q$131,E70=$Q$131,F70=""),"&gt;",""))</f>
        <v>&gt;</v>
      </c>
      <c r="C70" s="123" t="str">
        <f>B45</f>
        <v>Wash hand basin taps</v>
      </c>
      <c r="D70" s="166"/>
      <c r="E70" s="261"/>
      <c r="F70" s="269"/>
      <c r="G70" s="121">
        <f>IF(OR(E70=$Q$132,E70=""),0,G45*F70)</f>
        <v>0</v>
      </c>
      <c r="H70" s="148"/>
      <c r="I70" s="144"/>
      <c r="J70" s="144"/>
      <c r="K70" s="144"/>
      <c r="L70" s="144"/>
      <c r="M70" s="144"/>
      <c r="N70" s="144"/>
      <c r="O70" s="144"/>
      <c r="P70" s="144"/>
      <c r="Q70" s="144"/>
      <c r="R70" s="144"/>
      <c r="S70" s="144"/>
      <c r="T70" s="144"/>
      <c r="U70" s="144"/>
      <c r="V70" s="144"/>
      <c r="W70" s="144"/>
      <c r="X70" s="144"/>
      <c r="Y70" s="144"/>
      <c r="Z70" s="144"/>
      <c r="AA70" s="144"/>
      <c r="AC70" s="144"/>
      <c r="AN70" s="144"/>
    </row>
    <row r="71" spans="1:40" ht="15" customHeight="1" x14ac:dyDescent="0.2">
      <c r="A71" s="113"/>
      <c r="B71" s="346" t="str">
        <f t="shared" si="4"/>
        <v>&gt;</v>
      </c>
      <c r="C71" s="123" t="s">
        <v>397</v>
      </c>
      <c r="D71" s="166"/>
      <c r="E71" s="261"/>
      <c r="F71" s="269"/>
      <c r="G71" s="121">
        <f>IF(OR(E71=$Q$132,E71=""),0,(SUM(G46:G47)*F71))</f>
        <v>0</v>
      </c>
      <c r="H71" s="148"/>
      <c r="I71" s="144"/>
      <c r="J71" s="144"/>
      <c r="K71" s="144"/>
      <c r="L71" s="144"/>
      <c r="M71" s="144"/>
      <c r="N71" s="144"/>
      <c r="O71" s="144"/>
      <c r="P71" s="144"/>
      <c r="Q71" s="144"/>
      <c r="R71" s="144"/>
      <c r="S71" s="144"/>
      <c r="T71" s="144"/>
      <c r="U71" s="144"/>
      <c r="V71" s="144"/>
      <c r="W71" s="144"/>
      <c r="X71" s="144"/>
      <c r="Y71" s="144"/>
      <c r="Z71" s="144"/>
      <c r="AA71" s="144"/>
      <c r="AB71" s="164"/>
      <c r="AC71" s="144"/>
      <c r="AN71" s="144"/>
    </row>
    <row r="72" spans="1:40" ht="15" customHeight="1" x14ac:dyDescent="0.2">
      <c r="A72" s="113"/>
      <c r="B72" s="346" t="str">
        <f t="shared" si="4"/>
        <v>&gt;</v>
      </c>
      <c r="C72" s="123" t="str">
        <f>B52</f>
        <v>Kitchen taps - kitchenette</v>
      </c>
      <c r="D72" s="166"/>
      <c r="E72" s="267"/>
      <c r="F72" s="269"/>
      <c r="G72" s="121">
        <f>IF(OR(E72=$Q$132,E72=""),0,G52*F72)</f>
        <v>0</v>
      </c>
      <c r="H72" s="148"/>
      <c r="I72" s="144"/>
      <c r="J72" s="144"/>
      <c r="K72" s="144"/>
      <c r="L72" s="144"/>
      <c r="M72" s="144"/>
      <c r="N72" s="144"/>
      <c r="O72" s="144"/>
      <c r="P72" s="144"/>
      <c r="Q72" s="144"/>
      <c r="R72" s="144"/>
      <c r="S72" s="144"/>
      <c r="T72" s="144"/>
      <c r="U72" s="144"/>
      <c r="V72" s="144"/>
      <c r="W72" s="144"/>
      <c r="X72" s="144"/>
      <c r="Y72" s="144"/>
      <c r="Z72" s="144"/>
      <c r="AA72" s="144"/>
      <c r="AB72" s="164"/>
      <c r="AC72" s="144"/>
      <c r="AN72" s="144"/>
    </row>
    <row r="73" spans="1:40" ht="15" customHeight="1" x14ac:dyDescent="0.2">
      <c r="A73" s="113"/>
      <c r="B73" s="346" t="str">
        <f t="shared" si="4"/>
        <v>&gt;</v>
      </c>
      <c r="C73" s="123" t="s">
        <v>113</v>
      </c>
      <c r="D73" s="166"/>
      <c r="E73" s="271"/>
      <c r="F73" s="269"/>
      <c r="G73" s="121">
        <f>IF(OR(E73=$Q$132,E73=""),0,F73*G53)</f>
        <v>0</v>
      </c>
      <c r="H73" s="148"/>
      <c r="I73" s="144"/>
      <c r="J73" s="144"/>
      <c r="K73" s="144"/>
      <c r="L73" s="144"/>
      <c r="M73" s="144"/>
      <c r="N73" s="144"/>
      <c r="O73" s="144"/>
      <c r="P73" s="144"/>
      <c r="Q73" s="144"/>
      <c r="R73" s="144"/>
      <c r="S73" s="144"/>
      <c r="T73" s="144"/>
      <c r="U73" s="144"/>
      <c r="V73" s="144"/>
      <c r="W73" s="144"/>
      <c r="X73" s="144"/>
      <c r="Y73" s="144"/>
      <c r="Z73" s="144"/>
      <c r="AA73" s="144"/>
      <c r="AB73" s="164"/>
      <c r="AC73" s="144"/>
      <c r="AN73" s="144"/>
    </row>
    <row r="74" spans="1:40" ht="15" customHeight="1" x14ac:dyDescent="0.2">
      <c r="A74" s="113"/>
      <c r="B74" s="346"/>
      <c r="C74" s="123" t="str">
        <f>B55</f>
        <v>Kitchen taps - pre-rinse nozzle</v>
      </c>
      <c r="D74" s="166"/>
      <c r="E74" s="267"/>
      <c r="F74" s="270"/>
      <c r="G74" s="121">
        <f>IF(OR(E74=$Q$132,E74=""),0,G55*F74)</f>
        <v>0</v>
      </c>
      <c r="H74" s="148"/>
      <c r="I74" s="144"/>
      <c r="J74" s="144"/>
      <c r="K74" s="144"/>
      <c r="L74" s="144"/>
      <c r="M74" s="144"/>
      <c r="N74" s="144"/>
      <c r="O74" s="144"/>
      <c r="P74" s="144"/>
      <c r="Q74" s="144"/>
      <c r="R74" s="144"/>
      <c r="S74" s="144"/>
      <c r="T74" s="144"/>
      <c r="U74" s="144"/>
      <c r="V74" s="144"/>
      <c r="W74" s="144"/>
      <c r="X74" s="144"/>
      <c r="Y74" s="144"/>
      <c r="Z74" s="144"/>
      <c r="AA74" s="144"/>
      <c r="AB74" s="164"/>
      <c r="AC74" s="144"/>
      <c r="AN74" s="144"/>
    </row>
    <row r="75" spans="1:40" ht="15" customHeight="1" x14ac:dyDescent="0.2">
      <c r="A75" s="113"/>
      <c r="B75" s="346"/>
      <c r="C75" s="123" t="s">
        <v>114</v>
      </c>
      <c r="D75" s="166"/>
      <c r="E75" s="267"/>
      <c r="F75" s="270"/>
      <c r="G75" s="121">
        <f>IF(OR(E75=$Q$132,E75=""),0,F75*G56)</f>
        <v>0</v>
      </c>
      <c r="H75" s="148"/>
      <c r="I75" s="144"/>
      <c r="J75" s="144"/>
      <c r="K75" s="144"/>
      <c r="L75" s="144"/>
      <c r="M75" s="144"/>
      <c r="N75" s="144"/>
      <c r="O75" s="144"/>
      <c r="P75" s="144"/>
      <c r="Q75" s="144"/>
      <c r="R75" s="144"/>
      <c r="S75" s="144"/>
      <c r="T75" s="144"/>
      <c r="U75" s="144"/>
      <c r="V75" s="144"/>
      <c r="W75" s="144"/>
      <c r="X75" s="144"/>
      <c r="Y75" s="144"/>
      <c r="Z75" s="144"/>
      <c r="AA75" s="144"/>
      <c r="AB75" s="164"/>
      <c r="AC75" s="144"/>
      <c r="AN75" s="144"/>
    </row>
    <row r="76" spans="1:40" ht="15" customHeight="1" x14ac:dyDescent="0.2">
      <c r="A76" s="113"/>
      <c r="B76" s="288"/>
      <c r="C76" s="123" t="s">
        <v>79</v>
      </c>
      <c r="D76" s="166"/>
      <c r="E76" s="267"/>
      <c r="F76" s="270"/>
      <c r="G76" s="121">
        <f>IF(OR(E76=Q132,E76="",E48="N/A",E49="N/A"),0,(SUM(G48:G49)*F76))</f>
        <v>0</v>
      </c>
      <c r="H76" s="510"/>
      <c r="I76" s="332"/>
      <c r="J76" s="144"/>
      <c r="K76" s="144"/>
      <c r="L76" s="144"/>
      <c r="M76" s="144"/>
      <c r="N76" s="144"/>
      <c r="O76" s="144"/>
      <c r="P76" s="144"/>
      <c r="Q76" s="144"/>
      <c r="R76" s="144"/>
      <c r="S76" s="144"/>
      <c r="T76" s="144"/>
      <c r="U76" s="144"/>
      <c r="V76" s="144"/>
      <c r="W76" s="144"/>
      <c r="X76" s="144"/>
      <c r="Y76" s="144"/>
      <c r="Z76" s="144"/>
      <c r="AA76" s="144"/>
      <c r="AB76" s="164"/>
      <c r="AC76" s="144"/>
      <c r="AN76" s="144"/>
    </row>
    <row r="77" spans="1:40" ht="15" customHeight="1" x14ac:dyDescent="0.2">
      <c r="A77" s="113"/>
      <c r="B77" s="288"/>
      <c r="C77" s="123" t="str">
        <f>B58</f>
        <v>Washing machine</v>
      </c>
      <c r="D77" s="166"/>
      <c r="E77" s="267"/>
      <c r="F77" s="270"/>
      <c r="G77" s="121">
        <f>IF(OR(E77=Q133,E77=""),0,F77*G58)</f>
        <v>0</v>
      </c>
      <c r="H77" s="510"/>
      <c r="I77" s="332"/>
      <c r="J77" s="144"/>
      <c r="K77" s="144"/>
      <c r="L77" s="144"/>
      <c r="M77" s="144"/>
      <c r="N77" s="144"/>
      <c r="O77" s="144"/>
      <c r="P77" s="144"/>
      <c r="Q77" s="144"/>
      <c r="R77" s="144"/>
      <c r="S77" s="144"/>
      <c r="T77" s="144"/>
      <c r="U77" s="144"/>
      <c r="V77" s="144"/>
      <c r="W77" s="144"/>
      <c r="X77" s="144"/>
      <c r="Y77" s="144"/>
      <c r="Z77" s="144"/>
      <c r="AA77" s="144"/>
      <c r="AB77" s="164"/>
      <c r="AC77" s="144"/>
      <c r="AN77" s="144"/>
    </row>
    <row r="78" spans="1:40" ht="24.95" customHeight="1" x14ac:dyDescent="0.2">
      <c r="A78" s="113"/>
      <c r="B78" s="113"/>
      <c r="C78" s="538" t="s">
        <v>168</v>
      </c>
      <c r="D78" s="538" t="s">
        <v>911</v>
      </c>
      <c r="E78" s="538" t="s">
        <v>912</v>
      </c>
      <c r="F78" s="538" t="s">
        <v>913</v>
      </c>
      <c r="G78" s="538" t="s">
        <v>910</v>
      </c>
      <c r="H78" s="619" t="str">
        <f>IF(G67=Q131,N152,"")</f>
        <v>Note: If greywater is collected from a component/source not accounted for above i.e. their consumption is not estimated, then the amount of greywater collected can be added here so that it may be accounted for. This can include wastewater from active hygiene flushing, i.e. a regular hygiene flushing programme to minimize poor water quality in a potable cold or hot water system.</v>
      </c>
      <c r="I78" s="603"/>
      <c r="J78" s="603"/>
      <c r="K78" s="603"/>
      <c r="L78" s="603"/>
      <c r="M78" s="603"/>
      <c r="N78" s="144"/>
      <c r="O78" s="144"/>
      <c r="P78" s="144"/>
      <c r="Q78" s="144"/>
      <c r="R78" s="144"/>
      <c r="S78" s="144"/>
      <c r="T78" s="144"/>
      <c r="U78" s="144"/>
      <c r="V78" s="144"/>
      <c r="W78" s="144"/>
      <c r="X78" s="144"/>
      <c r="Y78" s="144"/>
      <c r="Z78" s="144"/>
      <c r="AA78" s="144"/>
      <c r="AB78" s="165"/>
      <c r="AC78" s="144"/>
      <c r="AN78" s="144"/>
    </row>
    <row r="79" spans="1:40" ht="15" customHeight="1" x14ac:dyDescent="0.2">
      <c r="A79" s="113"/>
      <c r="B79" s="113"/>
      <c r="C79" s="130" t="s">
        <v>398</v>
      </c>
      <c r="D79" s="261"/>
      <c r="E79" s="261"/>
      <c r="F79" s="121" t="str">
        <f>IF(D79="","",D79/E79)</f>
        <v/>
      </c>
      <c r="G79" s="121">
        <f>IF(D79="",0,F79/O142)</f>
        <v>0</v>
      </c>
      <c r="H79" s="619"/>
      <c r="I79" s="603"/>
      <c r="J79" s="603"/>
      <c r="K79" s="603"/>
      <c r="L79" s="603"/>
      <c r="M79" s="603"/>
      <c r="N79" s="144"/>
      <c r="O79" s="144"/>
      <c r="P79" s="144"/>
      <c r="Q79" s="144"/>
      <c r="R79" s="144"/>
      <c r="S79" s="144"/>
      <c r="T79" s="144"/>
      <c r="U79" s="144"/>
      <c r="V79" s="144"/>
      <c r="W79" s="144"/>
      <c r="X79" s="144"/>
      <c r="Y79" s="144"/>
      <c r="Z79" s="144"/>
      <c r="AA79" s="144"/>
      <c r="AB79" s="164"/>
      <c r="AC79" s="144"/>
      <c r="AN79" s="144"/>
    </row>
    <row r="80" spans="1:40" ht="15" customHeight="1" x14ac:dyDescent="0.2">
      <c r="A80" s="113"/>
      <c r="B80" s="113"/>
      <c r="C80" s="113"/>
      <c r="D80" s="113"/>
      <c r="E80" s="113"/>
      <c r="F80" s="113"/>
      <c r="G80" s="113"/>
      <c r="H80" s="148"/>
      <c r="I80" s="144"/>
      <c r="J80" s="144"/>
      <c r="K80" s="144"/>
      <c r="L80" s="144"/>
      <c r="M80" s="144"/>
      <c r="N80" s="144"/>
      <c r="O80" s="144"/>
      <c r="P80" s="144"/>
      <c r="Q80" s="144"/>
      <c r="R80" s="144"/>
      <c r="S80" s="144"/>
      <c r="T80" s="144"/>
      <c r="U80" s="144"/>
      <c r="V80" s="144"/>
      <c r="W80" s="144"/>
      <c r="X80" s="144"/>
      <c r="Y80" s="144"/>
      <c r="Z80" s="144"/>
      <c r="AA80" s="144"/>
      <c r="AB80" s="164"/>
      <c r="AC80" s="144"/>
      <c r="AN80" s="144"/>
    </row>
    <row r="81" spans="1:40" ht="24.95" customHeight="1" x14ac:dyDescent="0.2">
      <c r="A81" s="113"/>
      <c r="B81" s="113"/>
      <c r="C81" s="113"/>
      <c r="D81" s="113"/>
      <c r="E81" s="113"/>
      <c r="F81" s="113"/>
      <c r="G81" s="538" t="s">
        <v>656</v>
      </c>
      <c r="H81" s="148"/>
      <c r="I81" s="144"/>
      <c r="J81" s="144"/>
      <c r="K81" s="144"/>
      <c r="L81" s="144"/>
      <c r="M81" s="144"/>
      <c r="N81" s="144"/>
      <c r="O81" s="144"/>
      <c r="P81" s="144"/>
      <c r="Q81" s="144"/>
      <c r="R81" s="144"/>
      <c r="S81" s="144"/>
      <c r="T81" s="144"/>
      <c r="U81" s="144"/>
      <c r="V81" s="144"/>
      <c r="W81" s="144"/>
      <c r="X81" s="144"/>
      <c r="Y81" s="144"/>
      <c r="Z81" s="144"/>
      <c r="AA81" s="144"/>
      <c r="AB81" s="164"/>
      <c r="AC81" s="144"/>
      <c r="AN81" s="144"/>
    </row>
    <row r="82" spans="1:40" ht="15" customHeight="1" x14ac:dyDescent="0.2">
      <c r="A82" s="113"/>
      <c r="B82" s="113"/>
      <c r="C82" s="113"/>
      <c r="D82" s="113"/>
      <c r="E82" s="113"/>
      <c r="F82" s="140" t="s">
        <v>5</v>
      </c>
      <c r="G82" s="121">
        <f>IF(B13=Q130,Q138,IF(OR(G67=Q133,G67=Q132),0,SUM(G70:G77)+G79))</f>
        <v>0</v>
      </c>
      <c r="H82" s="148"/>
      <c r="I82" s="144"/>
      <c r="J82" s="144"/>
      <c r="K82" s="144"/>
      <c r="L82" s="144"/>
      <c r="M82" s="144"/>
      <c r="N82" s="144"/>
      <c r="O82" s="144"/>
      <c r="P82" s="144"/>
      <c r="Q82" s="144"/>
      <c r="R82" s="144"/>
      <c r="S82" s="144"/>
      <c r="T82" s="144"/>
      <c r="U82" s="144"/>
      <c r="V82" s="144"/>
      <c r="W82" s="144"/>
      <c r="X82" s="144"/>
      <c r="Y82" s="144"/>
      <c r="Z82" s="144"/>
      <c r="AA82" s="144"/>
      <c r="AC82" s="144"/>
      <c r="AN82" s="144"/>
    </row>
    <row r="83" spans="1:40" ht="24.95" customHeight="1" x14ac:dyDescent="0.2">
      <c r="A83" s="113"/>
      <c r="B83" s="113"/>
      <c r="C83" s="113"/>
      <c r="D83" s="113"/>
      <c r="E83" s="113"/>
      <c r="F83" s="113"/>
      <c r="G83" s="114"/>
      <c r="H83" s="148"/>
      <c r="I83" s="144"/>
      <c r="J83" s="144"/>
      <c r="K83" s="144"/>
      <c r="L83" s="144"/>
      <c r="M83" s="144"/>
      <c r="N83" s="144"/>
      <c r="O83" s="144"/>
      <c r="P83" s="144"/>
      <c r="Q83" s="144"/>
      <c r="R83" s="144"/>
      <c r="S83" s="144"/>
      <c r="T83" s="144"/>
      <c r="U83" s="144"/>
      <c r="V83" s="144"/>
      <c r="W83" s="144"/>
      <c r="X83" s="144"/>
      <c r="Y83" s="144"/>
      <c r="Z83" s="144"/>
      <c r="AA83" s="144"/>
      <c r="AC83" s="144"/>
      <c r="AN83" s="144"/>
    </row>
    <row r="84" spans="1:40" ht="32.1" customHeight="1" x14ac:dyDescent="0.2">
      <c r="A84" s="113"/>
      <c r="B84" s="516" t="s">
        <v>914</v>
      </c>
      <c r="C84" s="516"/>
      <c r="D84" s="516"/>
      <c r="E84" s="516"/>
      <c r="F84" s="516"/>
      <c r="G84" s="516"/>
      <c r="H84" s="148"/>
      <c r="I84" s="144"/>
      <c r="J84" s="144"/>
      <c r="K84" s="144"/>
      <c r="L84" s="144"/>
      <c r="M84" s="144"/>
      <c r="N84" s="144"/>
      <c r="O84" s="144"/>
      <c r="P84" s="144"/>
      <c r="Q84" s="144"/>
      <c r="R84" s="144"/>
      <c r="S84" s="144"/>
      <c r="T84" s="144"/>
      <c r="U84" s="144"/>
      <c r="V84" s="144"/>
      <c r="W84" s="144"/>
      <c r="X84" s="144"/>
      <c r="Y84" s="144"/>
      <c r="Z84" s="144"/>
      <c r="AA84" s="144"/>
      <c r="AC84" s="144"/>
      <c r="AN84" s="144"/>
    </row>
    <row r="85" spans="1:40" ht="24.95" customHeight="1" x14ac:dyDescent="0.2">
      <c r="A85" s="113"/>
      <c r="B85" s="136"/>
      <c r="C85" s="136"/>
      <c r="D85" s="113"/>
      <c r="E85" s="113"/>
      <c r="F85" s="113"/>
      <c r="G85" s="114"/>
      <c r="H85" s="148"/>
      <c r="I85" s="144"/>
      <c r="J85" s="144"/>
      <c r="K85" s="144"/>
      <c r="L85" s="144"/>
      <c r="M85" s="144"/>
      <c r="N85" s="144"/>
      <c r="O85" s="144"/>
      <c r="P85" s="144"/>
      <c r="Q85" s="144"/>
      <c r="R85" s="144"/>
      <c r="S85" s="144"/>
      <c r="T85" s="144"/>
      <c r="U85" s="144"/>
      <c r="V85" s="144"/>
      <c r="W85" s="144"/>
      <c r="X85" s="144"/>
      <c r="Y85" s="144"/>
      <c r="Z85" s="144"/>
      <c r="AA85" s="144"/>
      <c r="AC85" s="144"/>
      <c r="AN85" s="144"/>
    </row>
    <row r="86" spans="1:40" ht="15" customHeight="1" x14ac:dyDescent="0.2">
      <c r="A86" s="346" t="str">
        <f>IF(G86=$Q$130,"&gt;","")</f>
        <v>&gt;</v>
      </c>
      <c r="B86" s="115"/>
      <c r="C86" s="132"/>
      <c r="D86" s="133"/>
      <c r="E86" s="133"/>
      <c r="F86" s="134" t="s">
        <v>992</v>
      </c>
      <c r="G86" s="272" t="s">
        <v>654</v>
      </c>
      <c r="H86" s="148"/>
      <c r="I86" s="144"/>
      <c r="J86" s="144"/>
      <c r="K86" s="144"/>
      <c r="L86" s="144"/>
      <c r="M86" s="144"/>
      <c r="N86" s="144"/>
      <c r="O86" s="144"/>
      <c r="P86" s="144"/>
      <c r="Q86" s="144"/>
      <c r="R86" s="144"/>
      <c r="S86" s="144"/>
      <c r="T86" s="144"/>
      <c r="U86" s="144"/>
      <c r="V86" s="144"/>
      <c r="W86" s="144"/>
      <c r="X86" s="144"/>
      <c r="Y86" s="144"/>
      <c r="Z86" s="144"/>
      <c r="AA86" s="144"/>
      <c r="AC86" s="144"/>
      <c r="AN86" s="144"/>
    </row>
    <row r="87" spans="1:40" x14ac:dyDescent="0.2">
      <c r="A87" s="113"/>
      <c r="B87" s="113"/>
      <c r="C87" s="113"/>
      <c r="D87" s="113"/>
      <c r="E87" s="113"/>
      <c r="F87" s="168"/>
      <c r="G87" s="114"/>
      <c r="H87" s="148"/>
      <c r="I87" s="144"/>
      <c r="J87" s="144"/>
      <c r="K87" s="144"/>
      <c r="L87" s="144"/>
      <c r="M87" s="144"/>
      <c r="N87" s="144"/>
      <c r="O87" s="144"/>
      <c r="P87" s="144"/>
      <c r="Q87" s="144"/>
      <c r="R87" s="144"/>
      <c r="S87" s="144"/>
      <c r="T87" s="144"/>
      <c r="U87" s="144"/>
      <c r="V87" s="144"/>
      <c r="W87" s="144"/>
      <c r="X87" s="144"/>
      <c r="Y87" s="144"/>
      <c r="Z87" s="144"/>
      <c r="AA87" s="144"/>
      <c r="AC87" s="144"/>
      <c r="AN87" s="144"/>
    </row>
    <row r="88" spans="1:40" ht="15" customHeight="1" x14ac:dyDescent="0.2">
      <c r="A88" s="346" t="str">
        <f>IF(AND($G$86=$Q$131,G88=$Q$130),"&gt;","")</f>
        <v/>
      </c>
      <c r="B88" s="115"/>
      <c r="C88" s="132"/>
      <c r="D88" s="133"/>
      <c r="E88" s="133"/>
      <c r="F88" s="134" t="s">
        <v>32</v>
      </c>
      <c r="G88" s="272" t="s">
        <v>402</v>
      </c>
      <c r="H88" s="148"/>
      <c r="I88" s="144"/>
      <c r="J88" s="144"/>
      <c r="K88" s="144"/>
      <c r="L88" s="144"/>
      <c r="M88" s="144"/>
      <c r="N88" s="144"/>
      <c r="O88" s="144"/>
      <c r="P88" s="144"/>
      <c r="Q88" s="144"/>
      <c r="R88" s="144"/>
      <c r="S88" s="144"/>
      <c r="T88" s="144"/>
      <c r="U88" s="144"/>
      <c r="V88" s="144"/>
      <c r="W88" s="144"/>
      <c r="X88" s="144"/>
      <c r="Y88" s="144"/>
      <c r="Z88" s="144"/>
      <c r="AA88" s="144"/>
      <c r="AC88" s="144"/>
      <c r="AN88" s="144"/>
    </row>
    <row r="89" spans="1:40" ht="24.95" customHeight="1" x14ac:dyDescent="0.2">
      <c r="A89" s="113"/>
      <c r="B89" s="142" t="s">
        <v>915</v>
      </c>
      <c r="C89" s="113"/>
      <c r="D89" s="113"/>
      <c r="E89" s="113"/>
      <c r="F89" s="113"/>
      <c r="G89" s="169"/>
      <c r="H89" s="148"/>
      <c r="I89" s="144"/>
      <c r="J89" s="144"/>
      <c r="K89" s="144"/>
      <c r="L89" s="144"/>
      <c r="M89" s="144"/>
      <c r="N89" s="144"/>
      <c r="O89" s="144"/>
      <c r="P89" s="144"/>
      <c r="Q89" s="144"/>
      <c r="R89" s="144"/>
      <c r="S89" s="144"/>
      <c r="T89" s="144"/>
      <c r="U89" s="144"/>
      <c r="V89" s="144"/>
      <c r="W89" s="144"/>
      <c r="X89" s="144"/>
      <c r="Y89" s="144"/>
      <c r="Z89" s="144"/>
      <c r="AA89" s="144"/>
      <c r="AC89" s="144"/>
      <c r="AN89" s="144"/>
    </row>
    <row r="90" spans="1:40" ht="25.5" x14ac:dyDescent="0.2">
      <c r="A90" s="113"/>
      <c r="B90" s="538" t="s">
        <v>531</v>
      </c>
      <c r="C90" s="538" t="s">
        <v>401</v>
      </c>
      <c r="D90" s="538" t="s">
        <v>400</v>
      </c>
      <c r="E90" s="538" t="s">
        <v>916</v>
      </c>
      <c r="F90" s="538" t="s">
        <v>917</v>
      </c>
      <c r="G90" s="538" t="s">
        <v>918</v>
      </c>
      <c r="H90" s="148"/>
      <c r="I90" s="165"/>
      <c r="J90" s="165"/>
      <c r="K90" s="165"/>
      <c r="L90" s="165"/>
      <c r="M90" s="165"/>
      <c r="N90" s="165"/>
      <c r="O90" s="165"/>
      <c r="P90" s="165"/>
      <c r="Q90" s="165"/>
      <c r="R90" s="165"/>
      <c r="S90" s="165"/>
      <c r="T90" s="165"/>
      <c r="U90" s="165"/>
      <c r="V90" s="165"/>
      <c r="W90" s="165"/>
      <c r="X90" s="165"/>
      <c r="Y90" s="165"/>
      <c r="Z90" s="165"/>
      <c r="AA90" s="165"/>
      <c r="AB90" s="165"/>
      <c r="AC90" s="144"/>
      <c r="AN90" s="144"/>
    </row>
    <row r="91" spans="1:40" ht="15" customHeight="1" x14ac:dyDescent="0.2">
      <c r="A91" s="346" t="str">
        <f>IF(AND($G$86=$Q$131,$G$88=$S$131,OR(B91="",C91="",D91="",E91="")),"&gt;","")</f>
        <v/>
      </c>
      <c r="B91" s="261">
        <v>500000</v>
      </c>
      <c r="C91" s="261">
        <v>100</v>
      </c>
      <c r="D91" s="277">
        <v>0.95</v>
      </c>
      <c r="E91" s="277">
        <v>0.95</v>
      </c>
      <c r="F91" s="135">
        <f>B91*E91*D91*C91</f>
        <v>45125000</v>
      </c>
      <c r="G91" s="119" t="str">
        <f>IF(ISERROR(IF(OR(G86=Q133,G86=Q132,G88=S132),0,(F91/365)/O142)),Q138,IF(OR(G86=Q133,G86=Q132,G88=S132),0,(F91/365)/O142))</f>
        <v>Requires building information</v>
      </c>
      <c r="H91" s="148"/>
      <c r="I91" s="164"/>
      <c r="J91" s="164"/>
      <c r="K91" s="164"/>
      <c r="L91" s="164"/>
      <c r="M91" s="164"/>
      <c r="N91" s="164"/>
      <c r="O91" s="164"/>
      <c r="P91" s="164"/>
      <c r="Q91" s="164"/>
      <c r="R91" s="164"/>
      <c r="S91" s="164"/>
      <c r="T91" s="164"/>
      <c r="U91" s="164"/>
      <c r="V91" s="164"/>
      <c r="W91" s="164"/>
      <c r="X91" s="164"/>
      <c r="Y91" s="164"/>
      <c r="Z91" s="164"/>
      <c r="AA91" s="164"/>
      <c r="AB91" s="164"/>
      <c r="AC91" s="144"/>
      <c r="AN91" s="144"/>
    </row>
    <row r="92" spans="1:40" ht="24.95" customHeight="1" x14ac:dyDescent="0.2">
      <c r="A92" s="113"/>
      <c r="B92" s="113"/>
      <c r="C92" s="113"/>
      <c r="D92" s="113"/>
      <c r="E92" s="113"/>
      <c r="F92" s="142" t="s">
        <v>162</v>
      </c>
      <c r="G92" s="114"/>
      <c r="H92" s="148"/>
      <c r="I92" s="165"/>
      <c r="J92" s="165"/>
      <c r="K92" s="165"/>
      <c r="L92" s="165"/>
      <c r="M92" s="165"/>
      <c r="N92" s="165"/>
      <c r="O92" s="165"/>
      <c r="P92" s="165"/>
      <c r="Q92" s="165"/>
      <c r="R92" s="165"/>
      <c r="S92" s="165"/>
      <c r="T92" s="165"/>
      <c r="U92" s="165"/>
      <c r="V92" s="165"/>
      <c r="W92" s="165"/>
      <c r="X92" s="165"/>
      <c r="Y92" s="165"/>
      <c r="Z92" s="165"/>
      <c r="AA92" s="165"/>
      <c r="AB92" s="165"/>
      <c r="AC92" s="144"/>
      <c r="AN92" s="144"/>
    </row>
    <row r="93" spans="1:40" ht="25.5" x14ac:dyDescent="0.2">
      <c r="A93" s="113"/>
      <c r="B93" s="113"/>
      <c r="C93" s="113"/>
      <c r="D93" s="113"/>
      <c r="E93" s="113"/>
      <c r="F93" s="538" t="s">
        <v>403</v>
      </c>
      <c r="G93" s="538" t="s">
        <v>919</v>
      </c>
      <c r="H93" s="148"/>
      <c r="I93" s="164"/>
      <c r="J93" s="164"/>
      <c r="K93" s="164"/>
      <c r="L93" s="164"/>
      <c r="M93" s="164"/>
      <c r="N93" s="164"/>
      <c r="O93" s="164"/>
      <c r="P93" s="164"/>
      <c r="Q93" s="164"/>
      <c r="R93" s="164"/>
      <c r="S93" s="164"/>
      <c r="T93" s="164"/>
      <c r="U93" s="164"/>
      <c r="V93" s="164"/>
      <c r="W93" s="164"/>
      <c r="X93" s="164"/>
      <c r="Y93" s="164"/>
      <c r="Z93" s="164"/>
      <c r="AA93" s="164"/>
      <c r="AB93" s="164"/>
      <c r="AC93" s="144"/>
      <c r="AN93" s="144"/>
    </row>
    <row r="94" spans="1:40" ht="15" customHeight="1" x14ac:dyDescent="0.2">
      <c r="A94" s="113"/>
      <c r="B94" s="113"/>
      <c r="C94" s="113"/>
      <c r="D94" s="113"/>
      <c r="E94" s="346" t="str">
        <f>IF(AND($G$86=$Q$131,$G$88=$S$132,F94=""),"&gt;","")</f>
        <v/>
      </c>
      <c r="F94" s="261"/>
      <c r="G94" s="119">
        <f>IF(ISERROR(IF(OR(G88=S131,G86=Q133,G86=Q132),0,(F94/O142))),Q138,IF(OR(G88=S131,G86=Q133,G86=Q132),0,(F94/O142)))</f>
        <v>0</v>
      </c>
      <c r="H94" s="164"/>
      <c r="I94" s="164"/>
      <c r="J94" s="164"/>
      <c r="K94" s="164"/>
      <c r="L94" s="164"/>
      <c r="M94" s="164"/>
      <c r="N94" s="164"/>
      <c r="O94" s="164"/>
      <c r="P94" s="164"/>
      <c r="Q94" s="164"/>
      <c r="R94" s="164"/>
      <c r="S94" s="164"/>
      <c r="T94" s="164"/>
      <c r="U94" s="164"/>
      <c r="V94" s="164"/>
      <c r="W94" s="164"/>
      <c r="X94" s="164"/>
      <c r="Y94" s="164"/>
      <c r="Z94" s="164"/>
      <c r="AA94" s="164"/>
      <c r="AB94" s="164"/>
      <c r="AC94" s="144"/>
      <c r="AN94" s="144"/>
    </row>
    <row r="95" spans="1:40" ht="24.95" customHeight="1" x14ac:dyDescent="0.2">
      <c r="A95" s="113"/>
      <c r="B95" s="113"/>
      <c r="C95" s="113"/>
      <c r="D95" s="113"/>
      <c r="E95" s="113"/>
      <c r="F95" s="113"/>
      <c r="G95" s="114"/>
      <c r="H95" s="148"/>
      <c r="I95" s="144"/>
      <c r="J95" s="144"/>
      <c r="K95" s="144"/>
      <c r="L95" s="144"/>
      <c r="M95" s="144"/>
      <c r="N95" s="144"/>
      <c r="O95" s="144"/>
      <c r="P95" s="144"/>
      <c r="Q95" s="144"/>
      <c r="R95" s="144"/>
      <c r="S95" s="144"/>
      <c r="T95" s="144"/>
      <c r="U95" s="144"/>
      <c r="V95" s="144"/>
      <c r="W95" s="144"/>
      <c r="X95" s="144"/>
      <c r="Y95" s="144"/>
      <c r="Z95" s="144"/>
      <c r="AA95" s="144"/>
      <c r="AC95" s="144"/>
      <c r="AN95" s="144"/>
    </row>
    <row r="96" spans="1:40" ht="32.1" customHeight="1" x14ac:dyDescent="0.2">
      <c r="A96" s="113"/>
      <c r="B96" s="516" t="s">
        <v>628</v>
      </c>
      <c r="C96" s="516"/>
      <c r="D96" s="516"/>
      <c r="E96" s="516"/>
      <c r="F96" s="516"/>
      <c r="G96" s="516"/>
      <c r="H96" s="148"/>
      <c r="I96" s="144"/>
      <c r="J96" s="144"/>
      <c r="K96" s="144"/>
      <c r="L96" s="144"/>
      <c r="M96" s="144"/>
      <c r="N96" s="144"/>
      <c r="O96" s="144"/>
      <c r="P96" s="144"/>
      <c r="Q96" s="144"/>
      <c r="R96" s="144"/>
      <c r="S96" s="144"/>
      <c r="T96" s="144"/>
      <c r="U96" s="144"/>
      <c r="V96" s="144"/>
      <c r="W96" s="144"/>
      <c r="X96" s="144"/>
      <c r="Y96" s="144"/>
      <c r="Z96" s="144"/>
      <c r="AA96" s="144"/>
      <c r="AC96" s="144"/>
      <c r="AN96" s="144"/>
    </row>
    <row r="97" spans="1:40" ht="24.95" customHeight="1" x14ac:dyDescent="0.2">
      <c r="A97" s="113"/>
      <c r="B97" s="113"/>
      <c r="C97" s="113"/>
      <c r="D97" s="113"/>
      <c r="E97" s="113"/>
      <c r="F97" s="113"/>
      <c r="G97" s="114"/>
      <c r="H97" s="148"/>
      <c r="I97" s="144"/>
      <c r="J97" s="144"/>
      <c r="K97" s="144"/>
      <c r="L97" s="144"/>
      <c r="M97" s="144"/>
      <c r="N97" s="144"/>
      <c r="O97" s="144"/>
      <c r="P97" s="144"/>
      <c r="Q97" s="144"/>
      <c r="R97" s="144"/>
      <c r="S97" s="144"/>
      <c r="T97" s="144"/>
      <c r="U97" s="144"/>
      <c r="V97" s="144"/>
      <c r="W97" s="144"/>
      <c r="X97" s="144"/>
      <c r="Y97" s="144"/>
      <c r="Z97" s="144"/>
      <c r="AA97" s="144"/>
      <c r="AC97" s="144"/>
      <c r="AN97" s="144"/>
    </row>
    <row r="98" spans="1:40" ht="24.95" customHeight="1" x14ac:dyDescent="0.2">
      <c r="A98" s="113"/>
      <c r="B98" s="113"/>
      <c r="C98" s="113"/>
      <c r="D98" s="113"/>
      <c r="E98" s="113"/>
      <c r="F98" s="113"/>
      <c r="G98" s="538" t="s">
        <v>658</v>
      </c>
      <c r="H98" s="148"/>
      <c r="I98" s="144"/>
      <c r="J98" s="144"/>
      <c r="K98" s="144"/>
      <c r="L98" s="144"/>
      <c r="M98" s="144"/>
      <c r="N98" s="144"/>
      <c r="O98" s="144"/>
      <c r="P98" s="144"/>
      <c r="Q98" s="144"/>
      <c r="R98" s="144"/>
      <c r="S98" s="144"/>
      <c r="T98" s="144"/>
      <c r="U98" s="144"/>
      <c r="V98" s="144"/>
      <c r="W98" s="144"/>
      <c r="X98" s="144"/>
      <c r="Y98" s="144"/>
      <c r="Z98" s="144"/>
      <c r="AA98" s="144"/>
      <c r="AC98" s="144"/>
      <c r="AN98" s="144"/>
    </row>
    <row r="99" spans="1:40" ht="15" customHeight="1" x14ac:dyDescent="0.2">
      <c r="A99" s="113"/>
      <c r="B99" s="113"/>
      <c r="C99" s="113"/>
      <c r="D99" s="113"/>
      <c r="E99" s="113"/>
      <c r="F99" s="140" t="s">
        <v>5</v>
      </c>
      <c r="G99" s="119" t="str">
        <f>IF(ISERROR(G94+G91+G82),Q138,G94+G91+G82)</f>
        <v>Requires building information</v>
      </c>
      <c r="H99" s="148"/>
      <c r="I99" s="144"/>
      <c r="J99" s="144"/>
      <c r="K99" s="144"/>
      <c r="L99" s="144"/>
      <c r="M99" s="144"/>
      <c r="N99" s="144"/>
      <c r="O99" s="144"/>
      <c r="P99" s="144"/>
      <c r="Q99" s="144"/>
      <c r="R99" s="144"/>
      <c r="S99" s="144"/>
      <c r="T99" s="144"/>
      <c r="U99" s="144"/>
      <c r="V99" s="144"/>
      <c r="W99" s="144"/>
      <c r="X99" s="144"/>
      <c r="Y99" s="144"/>
      <c r="Z99" s="144"/>
      <c r="AA99" s="144"/>
      <c r="AC99" s="144"/>
      <c r="AN99" s="144"/>
    </row>
    <row r="100" spans="1:40" x14ac:dyDescent="0.2">
      <c r="A100" s="113"/>
      <c r="B100" s="113"/>
      <c r="C100" s="113"/>
      <c r="D100" s="113"/>
      <c r="E100" s="113"/>
      <c r="F100" s="113"/>
      <c r="G100" s="114"/>
      <c r="H100" s="148"/>
      <c r="I100" s="144"/>
      <c r="J100" s="144"/>
      <c r="K100" s="144"/>
      <c r="L100" s="144"/>
      <c r="M100" s="144"/>
      <c r="N100" s="144"/>
      <c r="O100" s="144"/>
      <c r="P100" s="144"/>
      <c r="Q100" s="144"/>
      <c r="R100" s="144"/>
      <c r="S100" s="144"/>
      <c r="T100" s="144"/>
      <c r="U100" s="144"/>
      <c r="V100" s="144"/>
      <c r="W100" s="144"/>
      <c r="X100" s="144"/>
      <c r="Y100" s="144"/>
      <c r="Z100" s="144"/>
      <c r="AA100" s="144"/>
      <c r="AC100" s="144"/>
      <c r="AN100" s="144"/>
    </row>
    <row r="101" spans="1:40" ht="39" customHeight="1" x14ac:dyDescent="0.2">
      <c r="A101" s="113"/>
      <c r="B101" s="113"/>
      <c r="C101" s="113"/>
      <c r="D101" s="538" t="s">
        <v>384</v>
      </c>
      <c r="E101" s="538" t="s">
        <v>920</v>
      </c>
      <c r="F101" s="538" t="s">
        <v>161</v>
      </c>
      <c r="G101" s="538" t="s">
        <v>1</v>
      </c>
      <c r="H101" s="148"/>
      <c r="I101" s="144"/>
      <c r="J101" s="144"/>
      <c r="K101" s="144"/>
      <c r="L101" s="144"/>
      <c r="M101" s="144"/>
      <c r="N101" s="144"/>
      <c r="O101" s="144"/>
      <c r="P101" s="144"/>
      <c r="Q101" s="144"/>
      <c r="R101" s="144"/>
      <c r="S101" s="144"/>
      <c r="T101" s="144"/>
      <c r="U101" s="144"/>
      <c r="V101" s="144"/>
      <c r="W101" s="144"/>
      <c r="X101" s="144"/>
      <c r="Y101" s="144"/>
      <c r="Z101" s="144"/>
      <c r="AA101" s="144"/>
      <c r="AC101" s="144"/>
      <c r="AN101" s="144"/>
    </row>
    <row r="102" spans="1:40" ht="15" customHeight="1" x14ac:dyDescent="0.2">
      <c r="A102" s="113"/>
      <c r="B102" s="113"/>
      <c r="C102" s="346" t="str">
        <f>IF(AND(OR($G$67=$Q$130,$G$67=$Q$132,$G$67=$Q$133),OR($G$86=$Q$130,$G$86=$Q$132,$G$86=$Q$133)),"",IF(E102=$Q$132,"",IF(OR(E102="",F102=""),"&gt;","")))</f>
        <v>&gt;</v>
      </c>
      <c r="D102" s="205" t="s">
        <v>269</v>
      </c>
      <c r="E102" s="273"/>
      <c r="F102" s="274"/>
      <c r="G102" s="206">
        <f>IF(E102="no",0,F102*SUM(G30:G31))</f>
        <v>0</v>
      </c>
      <c r="H102" s="148"/>
      <c r="I102" s="144"/>
      <c r="J102" s="144"/>
      <c r="K102" s="144"/>
      <c r="L102" s="144"/>
      <c r="M102" s="144"/>
      <c r="N102" s="144"/>
      <c r="O102" s="144"/>
      <c r="P102" s="144"/>
      <c r="Q102" s="144"/>
      <c r="R102" s="144"/>
      <c r="S102" s="144"/>
      <c r="T102" s="144"/>
      <c r="U102" s="144"/>
      <c r="V102" s="144"/>
      <c r="W102" s="144"/>
      <c r="X102" s="144"/>
      <c r="Y102" s="144"/>
      <c r="Z102" s="144"/>
      <c r="AA102" s="144"/>
      <c r="AC102" s="144"/>
      <c r="AN102" s="144"/>
    </row>
    <row r="103" spans="1:40" ht="15" customHeight="1" x14ac:dyDescent="0.2">
      <c r="A103" s="113"/>
      <c r="B103" s="113"/>
      <c r="C103" s="346" t="str">
        <f>IF(B30=R132,"",IF(AND(OR($G$67=$Q$130,$G$67=$Q$132,$G$67=$Q$133),OR($G$86=$Q$130,$G$86=$Q$132,$G$86=$Q$133)),"",IF(E103=$Q$132,"",IF(OR(E103="",F103=""),"&gt;",""))))</f>
        <v>&gt;</v>
      </c>
      <c r="D103" s="205" t="s">
        <v>270</v>
      </c>
      <c r="E103" s="273"/>
      <c r="F103" s="274"/>
      <c r="G103" s="206">
        <f>IF(OR(E103="no",B30=R132),0,F103*SUM(G34:G40))</f>
        <v>0</v>
      </c>
      <c r="H103" s="148"/>
      <c r="I103" s="144"/>
      <c r="J103" s="144"/>
      <c r="K103" s="144"/>
      <c r="L103" s="144"/>
      <c r="M103" s="144"/>
      <c r="N103" s="144"/>
      <c r="O103" s="144"/>
      <c r="P103" s="144"/>
      <c r="Q103" s="144"/>
      <c r="R103" s="144"/>
      <c r="S103" s="144"/>
      <c r="T103" s="144"/>
      <c r="U103" s="144"/>
      <c r="V103" s="144"/>
      <c r="W103" s="144"/>
      <c r="X103" s="144"/>
      <c r="Y103" s="144"/>
      <c r="Z103" s="144"/>
      <c r="AA103" s="144"/>
      <c r="AC103" s="144"/>
      <c r="AN103" s="144"/>
    </row>
    <row r="104" spans="1:40" ht="24.95" customHeight="1" x14ac:dyDescent="0.2">
      <c r="A104" s="113"/>
      <c r="B104" s="113"/>
      <c r="C104" s="113"/>
      <c r="D104" s="113"/>
      <c r="E104" s="113"/>
      <c r="F104" s="113"/>
      <c r="G104" s="538" t="s">
        <v>659</v>
      </c>
      <c r="H104" s="148"/>
      <c r="I104" s="144"/>
      <c r="J104" s="144"/>
      <c r="K104" s="144"/>
      <c r="L104" s="144"/>
      <c r="M104" s="144"/>
      <c r="N104" s="144"/>
      <c r="O104" s="144"/>
      <c r="P104" s="144"/>
      <c r="Q104" s="144"/>
      <c r="R104" s="144"/>
      <c r="S104" s="144"/>
      <c r="T104" s="144"/>
      <c r="U104" s="144"/>
      <c r="V104" s="144"/>
      <c r="W104" s="144"/>
      <c r="X104" s="144"/>
      <c r="Y104" s="144"/>
      <c r="Z104" s="144"/>
      <c r="AA104" s="144"/>
      <c r="AC104" s="144"/>
      <c r="AN104" s="144"/>
    </row>
    <row r="105" spans="1:40" ht="15" customHeight="1" x14ac:dyDescent="0.2">
      <c r="A105" s="113"/>
      <c r="B105" s="113"/>
      <c r="C105" s="113"/>
      <c r="D105" s="113"/>
      <c r="E105" s="113"/>
      <c r="F105" s="207" t="s">
        <v>5</v>
      </c>
      <c r="G105" s="119">
        <f>IF((SUM(G102:G103))&gt;G99,G99,SUM(G102:G103))</f>
        <v>0</v>
      </c>
      <c r="H105" s="148"/>
      <c r="I105" s="144"/>
      <c r="J105" s="144"/>
      <c r="K105" s="144"/>
      <c r="L105" s="144"/>
      <c r="M105" s="144"/>
      <c r="N105" s="144"/>
      <c r="O105" s="144"/>
      <c r="P105" s="144"/>
      <c r="Q105" s="144"/>
      <c r="R105" s="144"/>
      <c r="S105" s="144"/>
      <c r="T105" s="144"/>
      <c r="U105" s="144"/>
      <c r="V105" s="144"/>
      <c r="W105" s="144"/>
      <c r="X105" s="144"/>
      <c r="Y105" s="144"/>
      <c r="Z105" s="144"/>
      <c r="AA105" s="144"/>
      <c r="AC105" s="144"/>
      <c r="AN105" s="144"/>
    </row>
    <row r="106" spans="1:40" ht="24.95" customHeight="1" x14ac:dyDescent="0.2">
      <c r="A106" s="113"/>
      <c r="B106" s="113"/>
      <c r="C106" s="117"/>
      <c r="D106" s="142" t="s">
        <v>655</v>
      </c>
      <c r="E106" s="113"/>
      <c r="F106" s="113"/>
      <c r="G106" s="114"/>
      <c r="H106" s="148"/>
      <c r="I106" s="144"/>
      <c r="J106" s="144"/>
      <c r="K106" s="144"/>
      <c r="L106" s="144"/>
      <c r="M106" s="144"/>
      <c r="N106" s="144"/>
      <c r="O106" s="144"/>
      <c r="P106" s="144"/>
      <c r="Q106" s="144"/>
      <c r="R106" s="144"/>
      <c r="S106" s="144"/>
      <c r="T106" s="144"/>
      <c r="U106" s="144"/>
      <c r="V106" s="144"/>
      <c r="W106" s="144"/>
      <c r="X106" s="144"/>
      <c r="Y106" s="144"/>
      <c r="Z106" s="144"/>
      <c r="AA106" s="144"/>
      <c r="AC106" s="144"/>
      <c r="AN106" s="144"/>
    </row>
    <row r="107" spans="1:40" ht="15" customHeight="1" x14ac:dyDescent="0.2">
      <c r="A107" s="113"/>
      <c r="B107" s="113"/>
      <c r="C107" s="346" t="str">
        <f>IF(AND(OR($G$67=$Q$130,$G$67=$Q$132,$G$67=$Q$133),OR($G$86=$Q$130,$G$86=$Q$132,$G$86=$Q$133)),"",IF(G107=$Q$130,"&gt;",""))</f>
        <v>&gt;</v>
      </c>
      <c r="D107" s="257"/>
      <c r="E107" s="166"/>
      <c r="F107" s="134" t="s">
        <v>0</v>
      </c>
      <c r="G107" s="275" t="s">
        <v>654</v>
      </c>
      <c r="H107" s="148"/>
      <c r="I107" s="144"/>
      <c r="J107" s="144"/>
      <c r="K107" s="144"/>
      <c r="L107" s="144"/>
      <c r="M107" s="144"/>
      <c r="N107" s="144"/>
      <c r="O107" s="144"/>
      <c r="P107" s="144"/>
      <c r="Q107" s="144"/>
      <c r="R107" s="144"/>
      <c r="S107" s="144"/>
      <c r="T107" s="144"/>
      <c r="U107" s="144"/>
      <c r="V107" s="144"/>
      <c r="W107" s="144"/>
      <c r="X107" s="144"/>
      <c r="Y107" s="144"/>
      <c r="Z107" s="144"/>
      <c r="AA107" s="144"/>
      <c r="AC107" s="144"/>
      <c r="AN107" s="144"/>
    </row>
    <row r="108" spans="1:40" ht="24.95" customHeight="1" x14ac:dyDescent="0.2">
      <c r="A108" s="113"/>
      <c r="B108" s="113"/>
      <c r="C108" s="117"/>
      <c r="D108" s="113"/>
      <c r="E108" s="113"/>
      <c r="F108" s="113"/>
      <c r="G108" s="538" t="s">
        <v>616</v>
      </c>
      <c r="H108" s="148"/>
      <c r="I108" s="144"/>
      <c r="J108" s="144"/>
      <c r="K108" s="144"/>
      <c r="L108" s="144"/>
      <c r="M108" s="144"/>
      <c r="N108" s="144"/>
      <c r="O108" s="144"/>
      <c r="P108" s="144"/>
      <c r="Q108" s="144"/>
      <c r="R108" s="144"/>
      <c r="S108" s="144"/>
      <c r="T108" s="144"/>
      <c r="U108" s="144"/>
      <c r="V108" s="144"/>
      <c r="W108" s="144"/>
      <c r="X108" s="144"/>
      <c r="Y108" s="144"/>
      <c r="Z108" s="144"/>
      <c r="AA108" s="144"/>
      <c r="AC108" s="144"/>
      <c r="AN108" s="144"/>
    </row>
    <row r="109" spans="1:40" ht="15" customHeight="1" x14ac:dyDescent="0.2">
      <c r="A109" s="113"/>
      <c r="B109" s="113"/>
      <c r="C109" s="117"/>
      <c r="D109" s="113"/>
      <c r="E109" s="113"/>
      <c r="F109" s="113"/>
      <c r="G109" s="210" t="str">
        <f>IF(ISERROR(IF(AND(G107="yes",G105&gt;G99),0,(G99-G105)*O142)),Q138,IF(AND(G107="yes",G105&gt;G99),0,(G99-G105)*O142))</f>
        <v>Requires building information</v>
      </c>
      <c r="H109" s="148"/>
      <c r="I109" s="144"/>
      <c r="J109" s="144"/>
      <c r="K109" s="144"/>
      <c r="L109" s="144"/>
      <c r="M109" s="144"/>
      <c r="N109" s="144"/>
      <c r="O109" s="144"/>
      <c r="P109" s="144"/>
      <c r="Q109" s="144"/>
      <c r="R109" s="144"/>
      <c r="S109" s="144"/>
      <c r="T109" s="144"/>
      <c r="U109" s="144"/>
      <c r="V109" s="144"/>
      <c r="W109" s="144"/>
      <c r="X109" s="144"/>
      <c r="Y109" s="144"/>
      <c r="Z109" s="144"/>
      <c r="AA109" s="144"/>
      <c r="AC109" s="144"/>
      <c r="AN109" s="144"/>
    </row>
    <row r="110" spans="1:40" ht="15" customHeight="1" x14ac:dyDescent="0.2">
      <c r="A110" s="113"/>
      <c r="B110" s="113"/>
      <c r="C110" s="346" t="str">
        <f>IF(AND(OR($G$67=$Q$130,$G$67=$Q$132,$G$67=$Q$133),OR($G$86=$Q$130,$G$86=$Q$132,$G$86=$Q$133)),"",IF(AND(G107=$Q$131,G110=""),"&gt;",""))</f>
        <v/>
      </c>
      <c r="D110" s="208"/>
      <c r="E110" s="209"/>
      <c r="F110" s="134" t="s">
        <v>2</v>
      </c>
      <c r="G110" s="276">
        <v>0.68</v>
      </c>
      <c r="H110" s="148"/>
      <c r="I110" s="144"/>
      <c r="J110" s="144"/>
      <c r="K110" s="144"/>
      <c r="L110" s="144"/>
      <c r="M110" s="144"/>
      <c r="N110" s="144"/>
      <c r="O110" s="144"/>
      <c r="P110" s="144"/>
      <c r="Q110" s="144"/>
      <c r="R110" s="144"/>
      <c r="S110" s="144"/>
      <c r="T110" s="144"/>
      <c r="U110" s="144"/>
      <c r="V110" s="144"/>
      <c r="W110" s="144"/>
      <c r="X110" s="144"/>
      <c r="Y110" s="144"/>
      <c r="Z110" s="144"/>
      <c r="AA110" s="144"/>
      <c r="AC110" s="144"/>
      <c r="AN110" s="144"/>
    </row>
    <row r="111" spans="1:40" ht="24.95" customHeight="1" x14ac:dyDescent="0.2">
      <c r="A111" s="113"/>
      <c r="B111" s="113"/>
      <c r="C111" s="117"/>
      <c r="D111" s="113"/>
      <c r="E111" s="113"/>
      <c r="F111" s="113"/>
      <c r="G111" s="538" t="s">
        <v>921</v>
      </c>
      <c r="H111" s="148"/>
      <c r="I111" s="144"/>
      <c r="J111" s="144"/>
      <c r="K111" s="144"/>
      <c r="L111" s="144"/>
      <c r="M111" s="144"/>
      <c r="N111" s="144"/>
      <c r="O111" s="144"/>
      <c r="P111" s="144"/>
      <c r="Q111" s="144"/>
      <c r="R111" s="144"/>
      <c r="S111" s="144"/>
      <c r="T111" s="144"/>
      <c r="U111" s="144"/>
      <c r="V111" s="144"/>
      <c r="W111" s="144"/>
      <c r="X111" s="144"/>
      <c r="Y111" s="144"/>
      <c r="Z111" s="144"/>
      <c r="AA111" s="144"/>
      <c r="AC111" s="144"/>
      <c r="AN111" s="144"/>
    </row>
    <row r="112" spans="1:40" ht="15" customHeight="1" x14ac:dyDescent="0.2">
      <c r="A112" s="113"/>
      <c r="B112" s="113"/>
      <c r="C112" s="113"/>
      <c r="D112" s="113"/>
      <c r="E112" s="113"/>
      <c r="F112" s="140" t="s">
        <v>5</v>
      </c>
      <c r="G112" s="206" t="str">
        <f>IF(ISERROR((G110*G109)/O142),Q138,(G110*G109)/O142)</f>
        <v>Requires building information</v>
      </c>
      <c r="H112" s="148"/>
      <c r="I112" s="144"/>
      <c r="J112" s="144"/>
      <c r="K112" s="144"/>
      <c r="L112" s="144"/>
      <c r="M112" s="144"/>
      <c r="N112" s="144"/>
      <c r="O112" s="144"/>
      <c r="P112" s="144"/>
      <c r="Q112" s="144"/>
      <c r="R112" s="144"/>
      <c r="S112" s="144"/>
      <c r="T112" s="144"/>
      <c r="U112" s="144"/>
      <c r="V112" s="144"/>
      <c r="W112" s="144"/>
      <c r="X112" s="144"/>
      <c r="Y112" s="144"/>
      <c r="Z112" s="144"/>
      <c r="AA112" s="144"/>
    </row>
    <row r="113" spans="1:27" ht="15" customHeight="1" x14ac:dyDescent="0.2">
      <c r="A113" s="113"/>
      <c r="B113" s="113"/>
      <c r="C113" s="113"/>
      <c r="D113" s="113"/>
      <c r="E113" s="113"/>
      <c r="F113" s="113"/>
      <c r="G113" s="114"/>
      <c r="H113" s="148"/>
      <c r="I113" s="144"/>
      <c r="J113" s="144"/>
      <c r="K113" s="144"/>
      <c r="L113" s="144"/>
      <c r="M113" s="144"/>
      <c r="N113" s="144"/>
      <c r="O113" s="144"/>
      <c r="P113" s="144"/>
      <c r="Q113" s="144"/>
      <c r="R113" s="144"/>
      <c r="S113" s="144"/>
      <c r="T113" s="144"/>
      <c r="U113" s="144"/>
      <c r="V113" s="144"/>
      <c r="W113" s="144"/>
      <c r="X113" s="144"/>
      <c r="Y113" s="144"/>
      <c r="Z113" s="144"/>
      <c r="AA113" s="144"/>
    </row>
    <row r="114" spans="1:27" ht="39" customHeight="1" x14ac:dyDescent="0.2">
      <c r="A114" s="113"/>
      <c r="B114" s="113"/>
      <c r="C114" s="113"/>
      <c r="D114" s="113"/>
      <c r="E114" s="113"/>
      <c r="F114" s="113"/>
      <c r="G114" s="538" t="s">
        <v>660</v>
      </c>
      <c r="H114" s="148"/>
      <c r="I114" s="144"/>
      <c r="J114" s="144"/>
      <c r="K114" s="144"/>
      <c r="L114" s="144"/>
      <c r="M114" s="144"/>
      <c r="N114" s="144"/>
      <c r="O114" s="144"/>
      <c r="P114" s="144"/>
      <c r="Q114" s="144"/>
      <c r="R114" s="144"/>
      <c r="S114" s="144"/>
      <c r="T114" s="144"/>
      <c r="U114" s="144"/>
      <c r="V114" s="144"/>
      <c r="W114" s="144"/>
      <c r="X114" s="144"/>
      <c r="Y114" s="144"/>
      <c r="Z114" s="144"/>
      <c r="AA114" s="144"/>
    </row>
    <row r="115" spans="1:27" ht="15" customHeight="1" x14ac:dyDescent="0.2">
      <c r="A115" s="113"/>
      <c r="B115" s="113"/>
      <c r="C115" s="113"/>
      <c r="D115" s="113"/>
      <c r="E115" s="113"/>
      <c r="F115" s="140" t="s">
        <v>630</v>
      </c>
      <c r="G115" s="119" t="str">
        <f>IF(ISERROR(G105+G112),Q138,G105+G112)</f>
        <v>Requires building information</v>
      </c>
      <c r="H115" s="148"/>
      <c r="I115" s="144"/>
      <c r="J115" s="144"/>
      <c r="K115" s="144"/>
      <c r="L115" s="144"/>
      <c r="M115" s="144"/>
      <c r="N115" s="144"/>
      <c r="O115" s="144"/>
      <c r="P115" s="144"/>
      <c r="Q115" s="144"/>
      <c r="R115" s="144"/>
      <c r="S115" s="144"/>
      <c r="T115" s="144"/>
      <c r="U115" s="144"/>
      <c r="V115" s="144"/>
      <c r="W115" s="144"/>
      <c r="X115" s="144"/>
      <c r="Y115" s="144"/>
      <c r="Z115" s="144"/>
      <c r="AA115" s="144"/>
    </row>
    <row r="116" spans="1:27" ht="24.95" customHeight="1" x14ac:dyDescent="0.2">
      <c r="A116" s="113"/>
      <c r="B116" s="113"/>
      <c r="C116" s="113"/>
      <c r="D116" s="113"/>
      <c r="E116" s="113"/>
      <c r="F116" s="113"/>
      <c r="G116" s="114"/>
      <c r="H116" s="148"/>
      <c r="I116" s="144"/>
      <c r="J116" s="144"/>
      <c r="K116" s="144"/>
      <c r="L116" s="144"/>
      <c r="M116" s="144"/>
      <c r="N116" s="144"/>
      <c r="O116" s="144"/>
      <c r="P116" s="144"/>
      <c r="Q116" s="144"/>
      <c r="R116" s="144"/>
      <c r="S116" s="144"/>
      <c r="T116" s="144"/>
      <c r="U116" s="144"/>
      <c r="V116" s="144"/>
      <c r="W116" s="144"/>
      <c r="X116" s="144"/>
      <c r="Y116" s="144"/>
      <c r="Z116" s="144"/>
      <c r="AA116" s="144"/>
    </row>
    <row r="117" spans="1:27" ht="32.1" customHeight="1" x14ac:dyDescent="0.2">
      <c r="A117" s="113"/>
      <c r="B117" s="516" t="s">
        <v>4</v>
      </c>
      <c r="C117" s="516"/>
      <c r="D117" s="516"/>
      <c r="E117" s="516"/>
      <c r="F117" s="516"/>
      <c r="G117" s="516"/>
      <c r="H117" s="148"/>
      <c r="I117" s="144"/>
      <c r="J117" s="144"/>
      <c r="K117" s="144"/>
      <c r="L117" s="144"/>
      <c r="M117" s="144"/>
      <c r="N117" s="144"/>
      <c r="O117" s="144"/>
      <c r="P117" s="144"/>
      <c r="Q117" s="144"/>
      <c r="R117" s="144"/>
      <c r="S117" s="144"/>
      <c r="T117" s="144"/>
      <c r="U117" s="144"/>
      <c r="V117" s="144"/>
      <c r="W117" s="144"/>
      <c r="X117" s="144"/>
      <c r="Y117" s="144"/>
      <c r="Z117" s="144"/>
      <c r="AA117" s="144"/>
    </row>
    <row r="118" spans="1:27" ht="24.95" customHeight="1" x14ac:dyDescent="0.2">
      <c r="A118" s="113"/>
      <c r="B118" s="113"/>
      <c r="C118" s="168"/>
      <c r="D118" s="113"/>
      <c r="E118" s="113"/>
      <c r="F118" s="113"/>
      <c r="G118" s="114"/>
      <c r="H118" s="148"/>
      <c r="I118" s="144"/>
      <c r="J118" s="144"/>
      <c r="K118" s="144"/>
      <c r="L118" s="144"/>
      <c r="M118" s="144"/>
      <c r="N118" s="144"/>
      <c r="O118" s="144"/>
      <c r="P118" s="144"/>
      <c r="Q118" s="144"/>
      <c r="R118" s="144"/>
      <c r="S118" s="144"/>
      <c r="T118" s="144"/>
      <c r="U118" s="144"/>
      <c r="V118" s="144"/>
      <c r="W118" s="144"/>
      <c r="X118" s="144"/>
      <c r="Y118" s="144"/>
      <c r="Z118" s="144"/>
      <c r="AA118" s="144"/>
    </row>
    <row r="119" spans="1:27" ht="24.95" customHeight="1" x14ac:dyDescent="0.2">
      <c r="A119" s="113"/>
      <c r="B119" s="113"/>
      <c r="C119" s="168"/>
      <c r="E119" s="113"/>
      <c r="F119" s="538" t="s">
        <v>386</v>
      </c>
      <c r="G119" s="538" t="s">
        <v>958</v>
      </c>
      <c r="H119" s="148"/>
      <c r="I119" s="144"/>
      <c r="J119" s="144"/>
      <c r="K119" s="144"/>
      <c r="L119" s="144"/>
      <c r="M119" s="144"/>
      <c r="N119" s="144"/>
      <c r="O119" s="144"/>
      <c r="P119" s="144"/>
      <c r="Q119" s="144"/>
      <c r="R119" s="144"/>
      <c r="S119" s="144"/>
      <c r="T119" s="144"/>
      <c r="U119" s="144"/>
      <c r="V119" s="144"/>
      <c r="W119" s="144"/>
      <c r="X119" s="144"/>
      <c r="Y119" s="144"/>
      <c r="Z119" s="144"/>
      <c r="AA119" s="144"/>
    </row>
    <row r="120" spans="1:27" ht="15" customHeight="1" x14ac:dyDescent="0.2">
      <c r="A120" s="113"/>
      <c r="B120" s="541"/>
      <c r="C120" s="542"/>
      <c r="D120" s="542"/>
      <c r="E120" s="543" t="s">
        <v>955</v>
      </c>
      <c r="F120" s="211" t="str">
        <f>IF(ISERROR(R63),Q138,R63)</f>
        <v>Requires building information</v>
      </c>
      <c r="G120" s="211" t="str">
        <f>IF(ISERROR((F120/1000)*$F$13),Q138,(F120/1000)*$F$13)</f>
        <v>Requires building information</v>
      </c>
      <c r="H120" s="148"/>
      <c r="I120" s="144"/>
      <c r="J120" s="144"/>
      <c r="K120" s="144"/>
      <c r="L120" s="144"/>
      <c r="M120" s="144"/>
      <c r="N120" s="144"/>
      <c r="O120" s="144"/>
      <c r="P120" s="144"/>
      <c r="Q120" s="144"/>
      <c r="R120" s="144"/>
      <c r="S120" s="144"/>
      <c r="T120" s="144"/>
      <c r="U120" s="144"/>
      <c r="V120" s="144"/>
      <c r="W120" s="144"/>
      <c r="X120" s="144"/>
      <c r="Y120" s="144"/>
      <c r="Z120" s="144"/>
      <c r="AA120" s="144"/>
    </row>
    <row r="121" spans="1:27" x14ac:dyDescent="0.2">
      <c r="A121" s="113"/>
      <c r="B121" s="117"/>
      <c r="C121" s="117"/>
      <c r="D121" s="113"/>
      <c r="E121" s="168"/>
      <c r="F121" s="170"/>
      <c r="G121" s="114"/>
      <c r="H121" s="148"/>
      <c r="I121" s="144"/>
      <c r="J121" s="144"/>
      <c r="K121" s="144"/>
      <c r="L121" s="144"/>
      <c r="M121" s="144"/>
      <c r="N121" s="144"/>
      <c r="O121" s="144"/>
      <c r="P121" s="144"/>
      <c r="Q121" s="144"/>
      <c r="R121" s="571" t="s">
        <v>962</v>
      </c>
      <c r="S121" s="144"/>
      <c r="T121" s="144"/>
      <c r="U121" s="144"/>
      <c r="V121" s="144"/>
      <c r="W121" s="144"/>
      <c r="X121" s="144"/>
      <c r="Y121" s="144"/>
      <c r="Z121" s="144"/>
      <c r="AA121" s="144"/>
    </row>
    <row r="122" spans="1:27" ht="15" customHeight="1" x14ac:dyDescent="0.2">
      <c r="A122" s="113"/>
      <c r="B122" s="544"/>
      <c r="C122" s="545"/>
      <c r="D122" s="542"/>
      <c r="E122" s="543" t="s">
        <v>956</v>
      </c>
      <c r="F122" s="211" t="str">
        <f>IF(ISERROR(G63-R66),Q138,G63-R66)</f>
        <v>Requires building information</v>
      </c>
      <c r="G122" s="211" t="str">
        <f>IF(ISERROR((F122/1000)*$F$13),Q138,(F122/1000)*$F$13)</f>
        <v>Requires building information</v>
      </c>
      <c r="H122" s="148"/>
      <c r="I122" s="144"/>
      <c r="J122" s="144"/>
      <c r="K122" s="144"/>
      <c r="L122" s="144"/>
      <c r="M122" s="144"/>
      <c r="N122" s="174" t="s">
        <v>648</v>
      </c>
      <c r="O122" s="172"/>
      <c r="P122" s="144"/>
      <c r="Q122" s="144"/>
      <c r="R122" s="572" t="s">
        <v>654</v>
      </c>
      <c r="S122" s="144"/>
      <c r="T122" s="144"/>
      <c r="U122" s="144"/>
      <c r="V122" s="144"/>
      <c r="W122" s="144"/>
      <c r="X122" s="144"/>
      <c r="Y122" s="144"/>
      <c r="Z122" s="144"/>
      <c r="AA122" s="144"/>
    </row>
    <row r="123" spans="1:27" x14ac:dyDescent="0.2">
      <c r="A123" s="113"/>
      <c r="B123" s="117"/>
      <c r="C123" s="117"/>
      <c r="D123" s="113"/>
      <c r="E123" s="168"/>
      <c r="F123" s="170"/>
      <c r="G123" s="170"/>
      <c r="H123" s="148"/>
      <c r="I123" s="144"/>
      <c r="J123" s="144"/>
      <c r="K123" s="144"/>
      <c r="L123" s="144"/>
      <c r="M123" s="144"/>
      <c r="N123" s="175" t="e">
        <f>1-(F122-F124)/F120</f>
        <v>#VALUE!</v>
      </c>
      <c r="O123" s="172" t="s">
        <v>646</v>
      </c>
      <c r="P123" s="144"/>
      <c r="Q123" s="144"/>
      <c r="R123" s="572" t="s">
        <v>963</v>
      </c>
      <c r="S123" s="144"/>
      <c r="T123" s="144"/>
      <c r="U123" s="144"/>
      <c r="V123" s="144"/>
      <c r="W123" s="144"/>
      <c r="X123" s="144"/>
      <c r="Y123" s="144"/>
      <c r="Z123" s="144"/>
      <c r="AA123" s="144"/>
    </row>
    <row r="124" spans="1:27" ht="15" customHeight="1" x14ac:dyDescent="0.2">
      <c r="A124" s="113"/>
      <c r="B124" s="544"/>
      <c r="C124" s="545"/>
      <c r="D124" s="542"/>
      <c r="E124" s="543" t="s">
        <v>661</v>
      </c>
      <c r="F124" s="211" t="str">
        <f>IF(ISERROR(G115),Q138,G115)</f>
        <v>Requires building information</v>
      </c>
      <c r="G124" s="211" t="str">
        <f>IF(ISERROR((F124/1000)*$F$13),Q138,(F124/1000)*$F$13)</f>
        <v>Requires building information</v>
      </c>
      <c r="H124" s="163"/>
      <c r="I124" s="171"/>
      <c r="J124" s="171"/>
      <c r="K124" s="171"/>
      <c r="L124" s="171"/>
      <c r="M124" s="144"/>
      <c r="N124" s="176"/>
      <c r="O124" s="172"/>
      <c r="P124" s="144"/>
      <c r="Q124" s="144"/>
      <c r="R124" s="572" t="s">
        <v>964</v>
      </c>
      <c r="S124" s="144"/>
      <c r="T124" s="144"/>
      <c r="U124" s="144"/>
      <c r="V124" s="144"/>
      <c r="W124" s="144"/>
      <c r="X124" s="144"/>
      <c r="Y124" s="144"/>
      <c r="Z124" s="144"/>
      <c r="AA124" s="144"/>
    </row>
    <row r="125" spans="1:27" x14ac:dyDescent="0.2">
      <c r="A125" s="113"/>
      <c r="B125" s="117"/>
      <c r="C125" s="117"/>
      <c r="D125" s="113"/>
      <c r="E125" s="168"/>
      <c r="F125" s="170"/>
      <c r="G125" s="170"/>
      <c r="H125" s="163"/>
      <c r="I125" s="144"/>
      <c r="J125" s="144"/>
      <c r="K125" s="144"/>
      <c r="L125" s="144"/>
      <c r="M125" s="144"/>
      <c r="N125" s="175" t="e">
        <f>VLOOKUP(N123,CreditsEdu,2,TRUE)</f>
        <v>#VALUE!</v>
      </c>
      <c r="O125" s="172" t="s">
        <v>647</v>
      </c>
      <c r="P125" s="144"/>
      <c r="Q125" s="144"/>
      <c r="R125" s="572" t="s">
        <v>965</v>
      </c>
      <c r="S125" s="144"/>
      <c r="T125" s="144"/>
      <c r="U125" s="144"/>
      <c r="V125" s="144"/>
      <c r="W125" s="144"/>
      <c r="X125" s="144"/>
      <c r="Y125" s="144"/>
      <c r="Z125" s="144"/>
      <c r="AA125" s="144"/>
    </row>
    <row r="126" spans="1:27" ht="15" customHeight="1" x14ac:dyDescent="0.2">
      <c r="A126" s="113"/>
      <c r="B126" s="541"/>
      <c r="C126" s="542"/>
      <c r="D126" s="542"/>
      <c r="E126" s="543" t="s">
        <v>649</v>
      </c>
      <c r="F126" s="211" t="str">
        <f>IF(ISERROR(IF(AND((OR(G86=Q133,G86=Q132)),((OR(G67=Q133,G67=Q132)))),Q133,IF(OR(N125="1 credit",N125="2 credits",N125="3 credits"),Q136,IF(OR(N125="4 credits",N125="5 credits"),(IF((1-(F122/F120))&lt;0.25,"No","Yes")))))),Q138,IF(AND((OR(G86=Q133,G86=Q132)),((OR(G67=Q133,G67=Q132)))),Q133,IF(OR(N125="1 credit",N125="2 credits",N125="3 credits"),Q136,IF(OR(N125="4 credits",N125="5 credits"),(IF((1-(F122/F120))&lt;0.25,"No","Yes"))))))</f>
        <v>Requires building information</v>
      </c>
      <c r="G126" s="170"/>
      <c r="H126" s="163"/>
      <c r="I126" s="173"/>
      <c r="J126" s="173"/>
      <c r="K126" s="173"/>
      <c r="L126" s="173"/>
      <c r="M126" s="117"/>
      <c r="N126" s="172"/>
      <c r="O126" s="144"/>
      <c r="P126" s="144"/>
      <c r="Q126" s="144"/>
      <c r="R126" s="144"/>
      <c r="S126" s="144"/>
      <c r="T126" s="144"/>
      <c r="U126" s="144"/>
      <c r="V126" s="144"/>
      <c r="W126" s="144"/>
      <c r="X126" s="144"/>
      <c r="Y126" s="144"/>
      <c r="Z126" s="144"/>
      <c r="AA126" s="144"/>
    </row>
    <row r="127" spans="1:27" ht="24.95" customHeight="1" x14ac:dyDescent="0.2">
      <c r="A127" s="113"/>
      <c r="B127" s="117"/>
      <c r="C127" s="117"/>
      <c r="D127" s="113"/>
      <c r="E127" s="168"/>
      <c r="F127" s="170"/>
      <c r="G127" s="170"/>
      <c r="H127" s="163"/>
      <c r="I127" s="144"/>
      <c r="J127" s="144"/>
      <c r="K127" s="144"/>
      <c r="L127" s="144"/>
      <c r="M127" s="117"/>
      <c r="N127" s="159"/>
      <c r="O127" s="144"/>
      <c r="P127" s="144"/>
      <c r="Q127" s="144"/>
      <c r="R127" s="144"/>
      <c r="S127" s="144"/>
      <c r="T127" s="144"/>
      <c r="U127" s="144"/>
      <c r="V127" s="144"/>
      <c r="W127" s="144"/>
      <c r="X127" s="144"/>
      <c r="Y127" s="144"/>
      <c r="Z127" s="144"/>
      <c r="AA127" s="144"/>
    </row>
    <row r="128" spans="1:27" ht="15" customHeight="1" x14ac:dyDescent="0.2">
      <c r="A128" s="113"/>
      <c r="B128" s="544"/>
      <c r="C128" s="545"/>
      <c r="D128" s="542"/>
      <c r="E128" s="543" t="s">
        <v>957</v>
      </c>
      <c r="F128" s="211" t="str">
        <f>IF(ISERROR(IF(OR(F126="Yes",F126=Q133),F122-F124,(F122-((1-(F122/F120))*F124)))),Q138,IF(OR(F126="Yes",F126=Q133),F122-F124,(F122-((1-(F122/F120))*F124))))</f>
        <v>Requires building information</v>
      </c>
      <c r="G128" s="211" t="str">
        <f>IF(ISERROR((F128/1000)*$F$13),Q138,((F128/1000)*$F$13))</f>
        <v>Requires building information</v>
      </c>
      <c r="H128" s="163"/>
      <c r="I128" s="156"/>
      <c r="J128" s="156"/>
      <c r="K128" s="156"/>
      <c r="L128" s="156"/>
      <c r="M128" s="117"/>
      <c r="N128" s="172"/>
      <c r="O128" s="144"/>
      <c r="P128" s="144"/>
      <c r="Q128" s="144"/>
      <c r="R128" s="144"/>
      <c r="S128" s="144"/>
      <c r="T128" s="144"/>
      <c r="U128" s="144"/>
      <c r="V128" s="144"/>
      <c r="W128" s="144"/>
      <c r="X128" s="144"/>
      <c r="Y128" s="144"/>
      <c r="Z128" s="144"/>
      <c r="AA128" s="144"/>
    </row>
    <row r="129" spans="1:27" x14ac:dyDescent="0.2">
      <c r="A129" s="113"/>
      <c r="B129" s="117"/>
      <c r="C129" s="117"/>
      <c r="D129" s="113"/>
      <c r="E129" s="168"/>
      <c r="F129" s="170"/>
      <c r="G129" s="170"/>
      <c r="H129" s="163"/>
      <c r="I129" s="144"/>
      <c r="J129" s="144"/>
      <c r="K129" s="144"/>
      <c r="L129" s="144"/>
      <c r="M129" s="117"/>
      <c r="N129" s="172"/>
      <c r="O129" s="144"/>
      <c r="P129" s="144"/>
      <c r="Q129" s="144"/>
      <c r="R129" s="144"/>
      <c r="S129" s="144"/>
      <c r="T129" s="144"/>
      <c r="U129" s="144"/>
      <c r="V129" s="144"/>
      <c r="W129" s="144"/>
      <c r="X129" s="144"/>
      <c r="Y129" s="144"/>
      <c r="Z129" s="144"/>
      <c r="AA129" s="144"/>
    </row>
    <row r="130" spans="1:27" ht="15" customHeight="1" x14ac:dyDescent="0.2">
      <c r="A130" s="113"/>
      <c r="B130" s="544"/>
      <c r="C130" s="545"/>
      <c r="D130" s="542"/>
      <c r="E130" s="543" t="s">
        <v>156</v>
      </c>
      <c r="F130" s="212" t="str">
        <f>IF(OR(F120=Q138,F122=Q138,F124=Q138,F126=Q138),Q138,IF(OR(F126="yes",F126=Q136,F126=Q133),N123,(IF(F126="No",1-((F122-(F124*(1-(F122/F120))))/F120)))))</f>
        <v>Requires building information</v>
      </c>
      <c r="G130" s="114"/>
      <c r="H130" s="163"/>
      <c r="I130" s="148"/>
      <c r="J130" s="148"/>
      <c r="K130" s="148"/>
      <c r="L130" s="148"/>
      <c r="N130" s="144"/>
      <c r="O130" s="144"/>
      <c r="P130" s="144" t="s">
        <v>654</v>
      </c>
      <c r="Q130" s="144" t="s">
        <v>654</v>
      </c>
      <c r="R130" s="144" t="s">
        <v>654</v>
      </c>
      <c r="S130" s="144" t="s">
        <v>654</v>
      </c>
      <c r="T130" s="179">
        <v>0</v>
      </c>
      <c r="U130" s="144"/>
      <c r="V130" s="144"/>
      <c r="W130" s="144"/>
      <c r="X130" s="144"/>
      <c r="Y130" s="144"/>
      <c r="Z130" s="144"/>
      <c r="AA130" s="144"/>
    </row>
    <row r="131" spans="1:27" x14ac:dyDescent="0.2">
      <c r="A131" s="113"/>
      <c r="B131" s="117"/>
      <c r="C131" s="117"/>
      <c r="D131" s="113"/>
      <c r="E131" s="140"/>
      <c r="F131" s="177"/>
      <c r="G131" s="114"/>
      <c r="H131" s="163"/>
      <c r="I131" s="144"/>
      <c r="J131" s="144"/>
      <c r="K131" s="144"/>
      <c r="L131" s="144"/>
      <c r="M131" s="178"/>
      <c r="N131" s="146"/>
      <c r="O131" s="165" t="s">
        <v>390</v>
      </c>
      <c r="P131" s="144" t="s">
        <v>515</v>
      </c>
      <c r="Q131" s="144" t="s">
        <v>522</v>
      </c>
      <c r="R131" s="181" t="str">
        <f>'Activity database'!I3</f>
        <v>WC - male (urinals installed)</v>
      </c>
      <c r="S131" s="182" t="s">
        <v>402</v>
      </c>
      <c r="T131" s="179">
        <v>0.01</v>
      </c>
      <c r="U131" s="144"/>
      <c r="V131" s="144"/>
      <c r="W131" s="144"/>
      <c r="X131" s="144"/>
      <c r="Y131" s="144"/>
      <c r="Z131" s="144"/>
      <c r="AA131" s="144"/>
    </row>
    <row r="132" spans="1:27" ht="15" customHeight="1" x14ac:dyDescent="0.2">
      <c r="A132" s="113"/>
      <c r="B132" s="544"/>
      <c r="C132" s="545"/>
      <c r="D132" s="542"/>
      <c r="E132" s="543" t="s">
        <v>721</v>
      </c>
      <c r="F132" s="213" t="str">
        <f>IF(ISERROR(VLOOKUP(F130,CreditsEdu,2,TRUE)),Q138,VLOOKUP(F130,CreditsEdu,2,TRUE))</f>
        <v>Requires building information</v>
      </c>
      <c r="G132" s="114"/>
      <c r="H132" s="163"/>
      <c r="I132" s="159"/>
      <c r="J132" s="159"/>
      <c r="K132" s="159"/>
      <c r="L132" s="159"/>
      <c r="M132" s="159"/>
      <c r="N132" s="160" t="str">
        <f t="shared" ref="N132:N141" si="5">B16</f>
        <v>Education - Seminar rooms/areas</v>
      </c>
      <c r="O132" s="162">
        <f>IF(F16="Yes",VLOOKUP(B16,'Activity database'!A:BO,3,FALSE)*G16,0)</f>
        <v>0</v>
      </c>
      <c r="P132" s="144" t="s">
        <v>516</v>
      </c>
      <c r="Q132" s="144" t="s">
        <v>523</v>
      </c>
      <c r="R132" s="181" t="str">
        <f>'Activity database'!J3</f>
        <v>WC - male (no urinals installed)</v>
      </c>
      <c r="S132" s="182" t="s">
        <v>530</v>
      </c>
      <c r="T132" s="179">
        <v>0.02</v>
      </c>
      <c r="U132" s="144"/>
      <c r="V132" s="144"/>
      <c r="W132" s="144"/>
      <c r="X132" s="144"/>
      <c r="Y132" s="144"/>
      <c r="Z132" s="144"/>
      <c r="AA132" s="144"/>
    </row>
    <row r="133" spans="1:27" ht="15" customHeight="1" x14ac:dyDescent="0.2">
      <c r="A133" s="113"/>
      <c r="B133" s="117"/>
      <c r="C133" s="117"/>
      <c r="D133" s="113"/>
      <c r="E133" s="140"/>
      <c r="F133" s="118"/>
      <c r="G133" s="114"/>
      <c r="H133" s="163"/>
      <c r="I133" s="144"/>
      <c r="J133" s="144"/>
      <c r="K133" s="144"/>
      <c r="L133" s="144"/>
      <c r="M133" s="179"/>
      <c r="N133" s="160" t="str">
        <f t="shared" si="5"/>
        <v>Education - Staff office and adminstration areas</v>
      </c>
      <c r="O133" s="162">
        <f>IF(F17="Yes",VLOOKUP(B17,'Activity database'!A:BO,3,FALSE)*G17,0)</f>
        <v>0</v>
      </c>
      <c r="P133" s="144"/>
      <c r="Q133" s="144" t="s">
        <v>650</v>
      </c>
      <c r="R133" s="144"/>
      <c r="S133" s="144"/>
      <c r="T133" s="179">
        <v>0.03</v>
      </c>
      <c r="U133" s="144"/>
      <c r="V133" s="144"/>
      <c r="W133" s="144"/>
      <c r="X133" s="144"/>
      <c r="Y133" s="144"/>
      <c r="Z133" s="144"/>
      <c r="AA133" s="144"/>
    </row>
    <row r="134" spans="1:27" ht="15" customHeight="1" x14ac:dyDescent="0.2">
      <c r="A134" s="113"/>
      <c r="B134" s="544"/>
      <c r="C134" s="545"/>
      <c r="D134" s="542"/>
      <c r="E134" s="543" t="s">
        <v>722</v>
      </c>
      <c r="F134" s="213" t="str">
        <f>IF(F130=Q138,Q138,IF(F130&gt;=ExempEdu,"1 innovation credit achieved","Exemplary level not achieved"))</f>
        <v>Requires building information</v>
      </c>
      <c r="G134" s="114"/>
      <c r="H134" s="180"/>
      <c r="I134" s="159"/>
      <c r="J134" s="159"/>
      <c r="K134" s="159"/>
      <c r="L134" s="159"/>
      <c r="M134" s="179"/>
      <c r="N134" s="160" t="str">
        <f t="shared" si="5"/>
        <v>Education - Common room</v>
      </c>
      <c r="O134" s="162">
        <f>IF(F18="Yes",VLOOKUP(B18,'Activity database'!A:BO,3,FALSE)*G18,0)</f>
        <v>0</v>
      </c>
      <c r="P134" s="144"/>
      <c r="Q134" s="144"/>
      <c r="R134" s="149" t="s">
        <v>654</v>
      </c>
      <c r="S134" s="144"/>
      <c r="T134" s="179">
        <v>0.04</v>
      </c>
      <c r="U134" s="144"/>
      <c r="V134" s="144"/>
      <c r="W134" s="144"/>
      <c r="X134" s="144"/>
      <c r="Y134" s="144"/>
      <c r="Z134" s="144"/>
      <c r="AA134" s="144"/>
    </row>
    <row r="135" spans="1:27" ht="15" customHeight="1" x14ac:dyDescent="0.2">
      <c r="A135" s="113"/>
      <c r="B135" s="113"/>
      <c r="C135" s="113"/>
      <c r="D135" s="113"/>
      <c r="E135" s="113"/>
      <c r="F135" s="113"/>
      <c r="G135" s="114"/>
      <c r="H135" s="163"/>
      <c r="I135" s="144"/>
      <c r="J135" s="144"/>
      <c r="K135" s="144"/>
      <c r="L135" s="144"/>
      <c r="M135" s="144"/>
      <c r="N135" s="160" t="str">
        <f t="shared" si="5"/>
        <v>Education - dining area</v>
      </c>
      <c r="O135" s="162">
        <f>IF(OR(F19=Q132,F19=Q130),0,IF(OR(B13=R135,B13=R136),IF(O132&lt;300,G19*0.9*2*0.025,IF(O132&gt;=300,G19*0.9*3*0.025)),IF(OR(B13=R137,B13=R138),VLOOKUP(B19,'Activity database'!A:BO,3,FALSE)*G19)))</f>
        <v>0</v>
      </c>
      <c r="P135" s="144"/>
      <c r="Q135" s="144"/>
      <c r="R135" s="189" t="str">
        <f>'Activity database'!A17</f>
        <v xml:space="preserve">Education - Pre-schools </v>
      </c>
      <c r="S135" s="144"/>
      <c r="T135" s="179">
        <v>0.05</v>
      </c>
      <c r="U135" s="144"/>
      <c r="V135" s="144"/>
      <c r="W135" s="144"/>
      <c r="X135" s="144"/>
      <c r="Y135" s="144"/>
      <c r="Z135" s="144"/>
      <c r="AA135" s="144"/>
    </row>
    <row r="136" spans="1:27" ht="15" customHeight="1" x14ac:dyDescent="0.2">
      <c r="A136" s="113"/>
      <c r="B136" s="544"/>
      <c r="C136" s="545"/>
      <c r="D136" s="542"/>
      <c r="E136" s="543" t="s">
        <v>954</v>
      </c>
      <c r="F136" s="211" t="str">
        <f>IF(ISERROR(F122+R66-F124),Q138,F122+R66-F124)</f>
        <v>Requires building information</v>
      </c>
      <c r="G136" s="211" t="str">
        <f>IF(ISERROR((F136/1000)*$F$13),Q138,(F136/1000)*$F$13)</f>
        <v>Requires building information</v>
      </c>
      <c r="H136" s="163"/>
      <c r="I136" s="144"/>
      <c r="J136" s="144"/>
      <c r="K136" s="144"/>
      <c r="L136" s="144"/>
      <c r="M136" s="156"/>
      <c r="N136" s="160" t="str">
        <f t="shared" si="5"/>
        <v>Sporting facility with changing rooms and showers</v>
      </c>
      <c r="O136" s="162">
        <f>IF(F20="Yes",VLOOKUP(B20,'Activity database'!A:BO,3,FALSE)*G20,0)</f>
        <v>0</v>
      </c>
      <c r="P136" s="190"/>
      <c r="Q136" s="144" t="s">
        <v>651</v>
      </c>
      <c r="R136" s="189" t="str">
        <f>'Activity database'!A18</f>
        <v>Education - Schools and colleges</v>
      </c>
      <c r="S136" s="144"/>
      <c r="T136" s="179">
        <v>0.06</v>
      </c>
      <c r="U136" s="144"/>
      <c r="V136" s="144"/>
      <c r="W136" s="144"/>
      <c r="X136" s="144"/>
      <c r="Y136" s="144"/>
      <c r="Z136" s="144"/>
      <c r="AA136" s="144"/>
    </row>
    <row r="137" spans="1:27" x14ac:dyDescent="0.2">
      <c r="A137" s="113"/>
      <c r="B137" s="113"/>
      <c r="C137" s="113"/>
      <c r="D137" s="183"/>
      <c r="E137" s="184"/>
      <c r="F137" s="113"/>
      <c r="G137" s="114"/>
      <c r="H137" s="163"/>
      <c r="I137" s="144"/>
      <c r="J137" s="144"/>
      <c r="K137" s="144"/>
      <c r="L137" s="144"/>
      <c r="M137" s="156"/>
      <c r="N137" s="160" t="str">
        <f t="shared" si="5"/>
        <v>Education - Lecture theatre</v>
      </c>
      <c r="O137" s="162">
        <f>IF(F21="Yes",VLOOKUP(B21,'Activity database'!A:BO,3,FALSE)*G21,0)</f>
        <v>0</v>
      </c>
      <c r="P137" s="144"/>
      <c r="Q137" s="144"/>
      <c r="R137" s="189" t="str">
        <f>'Activity database'!A19</f>
        <v>Education - Universities</v>
      </c>
      <c r="S137" s="144"/>
      <c r="T137" s="179">
        <v>7.0000000000000007E-2</v>
      </c>
      <c r="U137" s="144"/>
      <c r="V137" s="144"/>
      <c r="W137" s="144"/>
      <c r="X137" s="144"/>
      <c r="Y137" s="144"/>
      <c r="Z137" s="144"/>
      <c r="AA137" s="144"/>
    </row>
    <row r="138" spans="1:27" x14ac:dyDescent="0.2">
      <c r="A138" s="113"/>
      <c r="B138" s="117"/>
      <c r="C138" s="117"/>
      <c r="D138" s="185"/>
      <c r="E138" s="186"/>
      <c r="F138" s="117"/>
      <c r="G138" s="187"/>
      <c r="H138" s="146"/>
      <c r="I138" s="144"/>
      <c r="J138" s="144"/>
      <c r="K138" s="144"/>
      <c r="L138" s="144"/>
      <c r="M138" s="188"/>
      <c r="N138" s="160" t="str">
        <f t="shared" si="5"/>
        <v>Education - Study area</v>
      </c>
      <c r="O138" s="162">
        <f>IF(F22="Yes",VLOOKUP(B22,'Activity database'!A:BO,3,FALSE)*G22,0)</f>
        <v>0</v>
      </c>
      <c r="P138" s="190"/>
      <c r="Q138" s="144" t="s">
        <v>844</v>
      </c>
      <c r="R138" s="189" t="str">
        <f>'Activity database'!A20</f>
        <v>Education - Higher education institutions</v>
      </c>
      <c r="S138" s="144"/>
      <c r="T138" s="179">
        <v>0.08</v>
      </c>
      <c r="U138" s="144"/>
      <c r="V138" s="144"/>
      <c r="W138" s="144"/>
      <c r="X138" s="144"/>
      <c r="Y138" s="144"/>
      <c r="Z138" s="144"/>
      <c r="AA138" s="144"/>
    </row>
    <row r="139" spans="1:27" x14ac:dyDescent="0.2">
      <c r="A139" s="113"/>
      <c r="B139" s="117"/>
      <c r="C139" s="117"/>
      <c r="D139" s="185"/>
      <c r="E139" s="186"/>
      <c r="F139" s="117"/>
      <c r="G139" s="187"/>
      <c r="H139" s="146"/>
      <c r="I139" s="144"/>
      <c r="J139" s="144"/>
      <c r="K139" s="144"/>
      <c r="L139" s="144"/>
      <c r="M139" s="144"/>
      <c r="N139" s="160" t="str">
        <f t="shared" si="5"/>
        <v>Education - Workshop</v>
      </c>
      <c r="O139" s="162">
        <f>IF(F23="Yes",VLOOKUP(B23,'Activity database'!A:BO,3,FALSE)*G23,0)</f>
        <v>0</v>
      </c>
      <c r="P139" s="190"/>
      <c r="Q139" s="144"/>
      <c r="R139" s="189"/>
      <c r="S139" s="144"/>
      <c r="T139" s="179">
        <v>0.09</v>
      </c>
      <c r="U139" s="144"/>
      <c r="V139" s="144"/>
      <c r="W139" s="144"/>
      <c r="X139" s="144"/>
      <c r="Y139" s="171"/>
      <c r="Z139" s="144"/>
      <c r="AA139" s="144"/>
    </row>
    <row r="140" spans="1:27" x14ac:dyDescent="0.2">
      <c r="A140" s="113"/>
      <c r="B140" s="117"/>
      <c r="C140" s="117"/>
      <c r="D140" s="185"/>
      <c r="E140" s="186"/>
      <c r="F140" s="117"/>
      <c r="G140" s="187"/>
      <c r="I140" s="144"/>
      <c r="J140" s="144"/>
      <c r="K140" s="144"/>
      <c r="L140" s="144"/>
      <c r="M140" s="144"/>
      <c r="N140" s="160" t="str">
        <f t="shared" si="5"/>
        <v>Education - Information Technology space</v>
      </c>
      <c r="O140" s="162">
        <f>IF(F24="Yes",VLOOKUP(B24,'Activity database'!A:BO,3,FALSE)*G24,0)</f>
        <v>0</v>
      </c>
      <c r="P140" s="144"/>
      <c r="Q140" s="144"/>
      <c r="R140" s="144"/>
      <c r="S140" s="144"/>
      <c r="T140" s="179">
        <v>0.1</v>
      </c>
      <c r="U140" s="144"/>
      <c r="V140" s="144"/>
      <c r="W140" s="144"/>
      <c r="X140" s="144"/>
      <c r="Y140" s="144"/>
      <c r="Z140" s="144"/>
      <c r="AA140" s="144"/>
    </row>
    <row r="141" spans="1:27" x14ac:dyDescent="0.2">
      <c r="A141" s="113"/>
      <c r="B141" s="117"/>
      <c r="C141" s="117"/>
      <c r="D141" s="185"/>
      <c r="E141" s="186"/>
      <c r="F141" s="117"/>
      <c r="G141" s="187"/>
      <c r="I141" s="144"/>
      <c r="J141" s="144"/>
      <c r="K141" s="144"/>
      <c r="L141" s="144"/>
      <c r="M141" s="144"/>
      <c r="N141" s="160" t="str">
        <f t="shared" si="5"/>
        <v>Education - Laboratory</v>
      </c>
      <c r="O141" s="162">
        <f>IF(F25="Yes",VLOOKUP(B25,'Activity database'!A:BO,3,FALSE)*G25,0)</f>
        <v>0</v>
      </c>
      <c r="P141" s="144"/>
      <c r="Q141" s="144"/>
      <c r="R141" s="148"/>
      <c r="S141" s="144"/>
      <c r="T141" s="179">
        <v>0.11</v>
      </c>
      <c r="U141" s="144"/>
      <c r="V141" s="144"/>
      <c r="W141" s="144"/>
      <c r="X141" s="144"/>
      <c r="Y141" s="144"/>
      <c r="Z141" s="144"/>
      <c r="AA141" s="144"/>
    </row>
    <row r="142" spans="1:27" x14ac:dyDescent="0.2">
      <c r="A142" s="113"/>
      <c r="B142" s="117"/>
      <c r="C142" s="117"/>
      <c r="D142" s="185"/>
      <c r="E142" s="186"/>
      <c r="F142" s="117"/>
      <c r="G142" s="187"/>
      <c r="I142" s="144"/>
      <c r="J142" s="144"/>
      <c r="K142" s="144"/>
      <c r="L142" s="144"/>
      <c r="M142" s="144"/>
      <c r="N142" s="160" t="s">
        <v>617</v>
      </c>
      <c r="O142" s="321">
        <f>SUM(O132:O141)</f>
        <v>0</v>
      </c>
      <c r="P142" s="194"/>
      <c r="Q142" s="144"/>
      <c r="R142" s="148"/>
      <c r="S142" s="144"/>
      <c r="T142" s="179">
        <v>0.12</v>
      </c>
      <c r="U142" s="144"/>
      <c r="V142" s="144"/>
      <c r="W142" s="144"/>
      <c r="X142" s="144"/>
      <c r="Y142" s="144"/>
      <c r="Z142" s="144"/>
      <c r="AA142" s="144"/>
    </row>
    <row r="143" spans="1:27" x14ac:dyDescent="0.2">
      <c r="A143" s="113"/>
      <c r="B143" s="117"/>
      <c r="C143" s="117"/>
      <c r="D143" s="185"/>
      <c r="E143" s="186"/>
      <c r="F143" s="117"/>
      <c r="G143" s="187"/>
      <c r="I143" s="144"/>
      <c r="J143" s="144"/>
      <c r="K143" s="144"/>
      <c r="L143" s="144"/>
      <c r="M143" s="144"/>
      <c r="N143" s="160"/>
      <c r="O143" s="194"/>
      <c r="P143" s="194"/>
      <c r="Q143" s="144"/>
      <c r="R143" s="148"/>
      <c r="S143" s="144"/>
      <c r="T143" s="179">
        <v>0.13</v>
      </c>
      <c r="U143" s="144"/>
      <c r="V143" s="144"/>
      <c r="W143" s="144"/>
      <c r="X143" s="144"/>
      <c r="Y143" s="144"/>
      <c r="Z143" s="144"/>
      <c r="AA143" s="144"/>
    </row>
    <row r="144" spans="1:27" x14ac:dyDescent="0.2">
      <c r="A144" s="113"/>
      <c r="B144" s="117"/>
      <c r="C144" s="117"/>
      <c r="D144" s="191"/>
      <c r="E144" s="186"/>
      <c r="F144" s="117"/>
      <c r="G144" s="187"/>
      <c r="I144" s="144"/>
      <c r="J144" s="144"/>
      <c r="K144" s="144"/>
      <c r="L144" s="144"/>
      <c r="M144" s="144"/>
      <c r="N144" s="148"/>
      <c r="O144" s="194"/>
      <c r="P144" s="194"/>
      <c r="Q144" s="144"/>
      <c r="R144" s="148"/>
      <c r="S144" s="144"/>
      <c r="T144" s="179">
        <v>0.14000000000000001</v>
      </c>
      <c r="U144" s="144"/>
      <c r="V144" s="144"/>
      <c r="W144" s="144"/>
      <c r="X144" s="144"/>
      <c r="Y144" s="144"/>
      <c r="Z144" s="144"/>
      <c r="AA144" s="144"/>
    </row>
    <row r="145" spans="1:27" x14ac:dyDescent="0.2">
      <c r="A145" s="113"/>
      <c r="B145" s="117"/>
      <c r="C145" s="117"/>
      <c r="D145" s="191"/>
      <c r="E145" s="191"/>
      <c r="F145" s="117"/>
      <c r="G145" s="187"/>
      <c r="I145" s="144"/>
      <c r="J145" s="144"/>
      <c r="K145" s="144"/>
      <c r="L145" s="144"/>
      <c r="M145" s="144"/>
      <c r="N145" s="148"/>
      <c r="O145" s="194"/>
      <c r="P145" s="194"/>
      <c r="Q145" s="144"/>
      <c r="R145" s="148"/>
      <c r="S145" s="144"/>
      <c r="T145" s="179">
        <v>0.15</v>
      </c>
      <c r="U145" s="144"/>
      <c r="V145" s="144"/>
      <c r="W145" s="144"/>
      <c r="X145" s="144"/>
      <c r="Y145" s="144"/>
      <c r="Z145" s="144"/>
      <c r="AA145" s="144"/>
    </row>
    <row r="146" spans="1:27" x14ac:dyDescent="0.2">
      <c r="A146" s="113"/>
      <c r="B146" s="117"/>
      <c r="C146" s="117"/>
      <c r="D146" s="192"/>
      <c r="E146" s="192"/>
      <c r="F146" s="192"/>
      <c r="G146" s="192"/>
      <c r="I146" s="144"/>
      <c r="J146" s="144"/>
      <c r="K146" s="144"/>
      <c r="L146" s="144"/>
      <c r="M146" s="144"/>
      <c r="N146" s="148"/>
      <c r="O146" s="195"/>
      <c r="P146" s="195"/>
      <c r="Q146" s="144"/>
      <c r="R146" s="144"/>
      <c r="S146" s="144"/>
      <c r="T146" s="179">
        <v>0.16</v>
      </c>
      <c r="U146" s="144"/>
      <c r="V146" s="144"/>
      <c r="W146" s="144"/>
      <c r="X146" s="144"/>
      <c r="Y146" s="144"/>
      <c r="Z146" s="144"/>
      <c r="AA146" s="144"/>
    </row>
    <row r="147" spans="1:27" x14ac:dyDescent="0.2">
      <c r="A147" s="117"/>
      <c r="B147" s="117"/>
      <c r="C147" s="117"/>
      <c r="D147" s="193"/>
      <c r="E147" s="193"/>
      <c r="F147" s="193"/>
      <c r="G147" s="193"/>
      <c r="I147" s="144"/>
      <c r="J147" s="144"/>
      <c r="K147" s="144"/>
      <c r="L147" s="144"/>
      <c r="M147" s="144"/>
      <c r="N147" s="148"/>
      <c r="O147" s="195"/>
      <c r="P147" s="195"/>
      <c r="Q147" s="144"/>
      <c r="R147" s="148"/>
      <c r="S147" s="144"/>
      <c r="T147" s="179">
        <v>0.17</v>
      </c>
      <c r="U147" s="144"/>
      <c r="V147" s="144"/>
      <c r="W147" s="144"/>
      <c r="X147" s="144"/>
      <c r="Y147" s="144"/>
      <c r="Z147" s="144"/>
      <c r="AA147" s="144"/>
    </row>
    <row r="148" spans="1:27" x14ac:dyDescent="0.2">
      <c r="A148" s="117"/>
      <c r="B148" s="117"/>
      <c r="C148" s="192"/>
      <c r="D148" s="192"/>
      <c r="E148" s="192"/>
      <c r="F148" s="192"/>
      <c r="G148" s="192"/>
      <c r="I148" s="144"/>
      <c r="J148" s="144"/>
      <c r="K148" s="144"/>
      <c r="L148" s="144"/>
      <c r="M148" s="144"/>
      <c r="N148" s="148"/>
      <c r="O148" s="195"/>
      <c r="P148" s="195"/>
      <c r="Q148" s="144"/>
      <c r="R148" s="148"/>
      <c r="S148" s="144"/>
      <c r="T148" s="179">
        <v>0.18</v>
      </c>
      <c r="U148" s="144"/>
      <c r="V148" s="144"/>
      <c r="W148" s="144"/>
      <c r="X148" s="144"/>
      <c r="Y148" s="144"/>
      <c r="Z148" s="144"/>
      <c r="AA148" s="144"/>
    </row>
    <row r="149" spans="1:27" x14ac:dyDescent="0.2">
      <c r="A149" s="117"/>
      <c r="B149" s="117"/>
      <c r="C149" s="192"/>
      <c r="D149" s="192"/>
      <c r="E149" s="192"/>
      <c r="F149" s="192"/>
      <c r="G149" s="192"/>
      <c r="I149" s="144"/>
      <c r="J149" s="144"/>
      <c r="K149" s="144"/>
      <c r="L149" s="144"/>
      <c r="M149" s="144"/>
      <c r="N149" s="148"/>
      <c r="O149" s="195"/>
      <c r="P149" s="195"/>
      <c r="Q149" s="144"/>
      <c r="R149" s="148"/>
      <c r="S149" s="144"/>
      <c r="T149" s="179">
        <v>0.19</v>
      </c>
      <c r="U149" s="144"/>
      <c r="V149" s="144"/>
      <c r="W149" s="144"/>
      <c r="X149" s="144"/>
      <c r="Y149" s="144"/>
      <c r="Z149" s="144"/>
      <c r="AA149" s="144"/>
    </row>
    <row r="150" spans="1:27" x14ac:dyDescent="0.2">
      <c r="A150" s="117"/>
      <c r="B150" s="117"/>
      <c r="C150" s="193"/>
      <c r="D150" s="193"/>
      <c r="E150" s="193"/>
      <c r="F150" s="193"/>
      <c r="G150" s="193"/>
      <c r="I150" s="144"/>
      <c r="J150" s="144"/>
      <c r="K150" s="144"/>
      <c r="L150" s="144"/>
      <c r="M150" s="144"/>
      <c r="N150" s="148"/>
      <c r="O150" s="195"/>
      <c r="P150" s="195"/>
      <c r="Q150" s="144"/>
      <c r="R150" s="144"/>
      <c r="S150" s="144"/>
      <c r="T150" s="179">
        <v>0.2</v>
      </c>
      <c r="U150" s="144"/>
      <c r="V150" s="144"/>
      <c r="W150" s="144"/>
      <c r="X150" s="144"/>
      <c r="Y150" s="144"/>
      <c r="Z150" s="144"/>
      <c r="AA150" s="144"/>
    </row>
    <row r="151" spans="1:27" x14ac:dyDescent="0.2">
      <c r="A151" s="117"/>
      <c r="B151" s="117"/>
      <c r="C151" s="117"/>
      <c r="D151" s="117"/>
      <c r="E151" s="117"/>
      <c r="F151" s="117"/>
      <c r="G151" s="187"/>
      <c r="I151" s="144"/>
      <c r="J151" s="144"/>
      <c r="K151" s="144"/>
      <c r="L151" s="144"/>
      <c r="M151" s="144"/>
      <c r="N151" s="148"/>
      <c r="O151" s="195"/>
      <c r="P151" s="195"/>
      <c r="Q151" s="144"/>
      <c r="R151" s="144"/>
      <c r="S151" s="144"/>
      <c r="T151" s="179">
        <v>0.21</v>
      </c>
      <c r="U151" s="144"/>
      <c r="V151" s="144"/>
      <c r="W151" s="144"/>
      <c r="X151" s="144"/>
      <c r="Y151" s="144"/>
      <c r="Z151" s="144"/>
      <c r="AA151" s="144"/>
    </row>
    <row r="152" spans="1:27" x14ac:dyDescent="0.2">
      <c r="A152" s="117"/>
      <c r="B152" s="117"/>
      <c r="C152" s="117"/>
      <c r="D152" s="117"/>
      <c r="E152" s="117"/>
      <c r="F152" s="117"/>
      <c r="G152" s="187"/>
      <c r="I152" s="144"/>
      <c r="J152" s="144"/>
      <c r="K152" s="144"/>
      <c r="L152" s="144"/>
      <c r="M152" s="144"/>
      <c r="N152" s="148" t="s">
        <v>922</v>
      </c>
      <c r="O152" s="195"/>
      <c r="P152" s="195"/>
      <c r="Q152" s="144"/>
      <c r="R152" s="144"/>
      <c r="S152" s="144"/>
      <c r="T152" s="179">
        <v>0.22</v>
      </c>
      <c r="U152" s="144"/>
      <c r="V152" s="144"/>
      <c r="W152" s="144"/>
      <c r="X152" s="144"/>
      <c r="Y152" s="144"/>
      <c r="Z152" s="144"/>
      <c r="AA152" s="144"/>
    </row>
    <row r="153" spans="1:27" x14ac:dyDescent="0.2">
      <c r="A153" s="117"/>
      <c r="B153" s="117"/>
      <c r="C153" s="117"/>
      <c r="D153" s="117"/>
      <c r="E153" s="117"/>
      <c r="F153" s="117"/>
      <c r="G153" s="187"/>
      <c r="I153" s="144"/>
      <c r="J153" s="144"/>
      <c r="K153" s="144"/>
      <c r="L153" s="144"/>
      <c r="M153" s="144"/>
      <c r="N153" s="148" t="s">
        <v>734</v>
      </c>
      <c r="O153" s="194"/>
      <c r="P153" s="194"/>
      <c r="Q153" s="144"/>
      <c r="R153" s="144"/>
      <c r="S153" s="144"/>
      <c r="T153" s="179">
        <v>0.23</v>
      </c>
      <c r="U153" s="144"/>
      <c r="V153" s="144"/>
      <c r="W153" s="144"/>
      <c r="X153" s="144"/>
      <c r="Y153" s="144"/>
      <c r="Z153" s="144"/>
      <c r="AA153" s="144"/>
    </row>
    <row r="154" spans="1:27" x14ac:dyDescent="0.2">
      <c r="A154" s="117"/>
      <c r="B154" s="117"/>
      <c r="C154" s="117"/>
      <c r="D154" s="193"/>
      <c r="E154" s="193"/>
      <c r="F154" s="193"/>
      <c r="G154" s="193"/>
      <c r="H154" s="155"/>
      <c r="I154" s="144"/>
      <c r="J154" s="144"/>
      <c r="K154" s="144"/>
      <c r="L154" s="144"/>
      <c r="M154" s="144"/>
      <c r="N154" s="148" t="s">
        <v>757</v>
      </c>
      <c r="O154" s="194"/>
      <c r="P154" s="194"/>
      <c r="Q154" s="144"/>
      <c r="R154" s="144"/>
      <c r="S154" s="144"/>
      <c r="T154" s="179">
        <v>0.24</v>
      </c>
      <c r="U154" s="144"/>
      <c r="V154" s="144"/>
      <c r="W154" s="144"/>
      <c r="X154" s="144"/>
      <c r="Y154" s="144"/>
      <c r="Z154" s="144"/>
      <c r="AA154" s="144"/>
    </row>
    <row r="155" spans="1:27" x14ac:dyDescent="0.2">
      <c r="A155" s="117"/>
      <c r="B155" s="117"/>
      <c r="C155" s="117"/>
      <c r="D155" s="117"/>
      <c r="E155" s="117"/>
      <c r="F155" s="117"/>
      <c r="G155" s="187"/>
      <c r="I155" s="144"/>
      <c r="J155" s="144"/>
      <c r="K155" s="144"/>
      <c r="L155" s="144"/>
      <c r="M155" s="144"/>
      <c r="N155" s="148" t="s">
        <v>758</v>
      </c>
      <c r="O155" s="194"/>
      <c r="P155" s="194"/>
      <c r="Q155" s="144"/>
      <c r="R155" s="144"/>
      <c r="S155" s="144"/>
      <c r="T155" s="179">
        <v>0.25</v>
      </c>
      <c r="U155" s="144"/>
      <c r="V155" s="144"/>
      <c r="W155" s="144"/>
      <c r="X155" s="144"/>
      <c r="Y155" s="144"/>
      <c r="Z155" s="144"/>
      <c r="AA155" s="144"/>
    </row>
    <row r="156" spans="1:27" x14ac:dyDescent="0.2">
      <c r="A156" s="117"/>
      <c r="B156" s="117"/>
      <c r="C156" s="117"/>
      <c r="D156" s="117"/>
      <c r="E156" s="117"/>
      <c r="F156" s="117"/>
      <c r="G156" s="187"/>
      <c r="I156" s="144"/>
      <c r="J156" s="144"/>
      <c r="K156" s="144"/>
      <c r="L156" s="144"/>
      <c r="M156" s="144"/>
      <c r="N156" s="148"/>
      <c r="O156" s="195"/>
      <c r="P156" s="195"/>
      <c r="Q156" s="144"/>
      <c r="R156" s="144"/>
      <c r="S156" s="144"/>
      <c r="T156" s="179">
        <v>0.26</v>
      </c>
      <c r="U156" s="144"/>
      <c r="V156" s="144"/>
      <c r="W156" s="144"/>
      <c r="X156" s="144"/>
      <c r="Y156" s="144"/>
      <c r="Z156" s="144"/>
      <c r="AA156" s="144"/>
    </row>
    <row r="157" spans="1:27" x14ac:dyDescent="0.2">
      <c r="A157" s="117"/>
      <c r="B157" s="117"/>
      <c r="C157" s="117"/>
      <c r="D157" s="117"/>
      <c r="E157" s="117"/>
      <c r="F157" s="117"/>
      <c r="G157" s="187"/>
      <c r="I157" s="144"/>
      <c r="J157" s="144"/>
      <c r="K157" s="144"/>
      <c r="L157" s="144"/>
      <c r="M157" s="144"/>
      <c r="N157" s="148"/>
      <c r="O157" s="194"/>
      <c r="P157" s="194"/>
      <c r="Q157" s="144"/>
      <c r="R157" s="144"/>
      <c r="S157" s="144"/>
      <c r="T157" s="179">
        <v>0.27</v>
      </c>
      <c r="U157" s="144"/>
      <c r="V157" s="144"/>
      <c r="W157" s="144"/>
      <c r="X157" s="144"/>
      <c r="Y157" s="144"/>
      <c r="Z157" s="144"/>
      <c r="AA157" s="144"/>
    </row>
    <row r="158" spans="1:27" x14ac:dyDescent="0.2">
      <c r="A158" s="117"/>
      <c r="B158" s="117"/>
      <c r="C158" s="117"/>
      <c r="D158" s="117"/>
      <c r="E158" s="117"/>
      <c r="F158" s="117"/>
      <c r="G158" s="187"/>
      <c r="I158" s="144"/>
      <c r="J158" s="144"/>
      <c r="K158" s="144"/>
      <c r="L158" s="144"/>
      <c r="M158" s="144"/>
      <c r="N158" s="148"/>
      <c r="O158" s="195"/>
      <c r="P158" s="195"/>
      <c r="Q158" s="144"/>
      <c r="R158" s="144"/>
      <c r="S158" s="144"/>
      <c r="T158" s="179">
        <v>0.28000000000000003</v>
      </c>
      <c r="U158" s="144"/>
      <c r="V158" s="144"/>
      <c r="W158" s="144"/>
      <c r="X158" s="144"/>
      <c r="Y158" s="144"/>
      <c r="Z158" s="144"/>
      <c r="AA158" s="144"/>
    </row>
    <row r="159" spans="1:27" x14ac:dyDescent="0.2">
      <c r="A159" s="117"/>
      <c r="B159" s="117"/>
      <c r="C159" s="117"/>
      <c r="D159" s="117"/>
      <c r="E159" s="117"/>
      <c r="F159" s="117"/>
      <c r="G159" s="187"/>
      <c r="I159" s="144"/>
      <c r="J159" s="144"/>
      <c r="K159" s="144"/>
      <c r="L159" s="144"/>
      <c r="M159" s="144"/>
      <c r="N159" s="148"/>
      <c r="O159" s="195"/>
      <c r="P159" s="195"/>
      <c r="Q159" s="144"/>
      <c r="R159" s="144"/>
      <c r="S159" s="144"/>
      <c r="T159" s="179">
        <v>0.28999999999999998</v>
      </c>
      <c r="U159" s="144"/>
      <c r="V159" s="144"/>
      <c r="W159" s="144"/>
      <c r="X159" s="144"/>
      <c r="Y159" s="144"/>
      <c r="Z159" s="144"/>
      <c r="AA159" s="144"/>
    </row>
    <row r="160" spans="1:27" x14ac:dyDescent="0.2">
      <c r="A160" s="117"/>
      <c r="B160" s="117"/>
      <c r="C160" s="117"/>
      <c r="D160" s="117"/>
      <c r="E160" s="117"/>
      <c r="F160" s="117"/>
      <c r="G160" s="187"/>
      <c r="I160" s="144"/>
      <c r="J160" s="144"/>
      <c r="K160" s="144"/>
      <c r="L160" s="144"/>
      <c r="M160" s="144"/>
      <c r="N160" s="148"/>
      <c r="O160" s="194"/>
      <c r="P160" s="194"/>
      <c r="Q160" s="144"/>
      <c r="R160" s="144"/>
      <c r="S160" s="144"/>
      <c r="T160" s="179">
        <v>0.3</v>
      </c>
      <c r="U160" s="144"/>
      <c r="V160" s="144"/>
      <c r="W160" s="144"/>
      <c r="X160" s="144"/>
      <c r="Y160" s="144"/>
      <c r="Z160" s="144"/>
      <c r="AA160" s="144"/>
    </row>
    <row r="161" spans="1:27" x14ac:dyDescent="0.2">
      <c r="A161" s="117"/>
      <c r="B161" s="117"/>
      <c r="C161" s="117"/>
      <c r="D161" s="117"/>
      <c r="E161" s="117"/>
      <c r="F161" s="117"/>
      <c r="G161" s="187"/>
      <c r="I161" s="144"/>
      <c r="J161" s="144"/>
      <c r="K161" s="144"/>
      <c r="L161" s="144"/>
      <c r="M161" s="144"/>
      <c r="N161" s="148"/>
      <c r="O161" s="195"/>
      <c r="P161" s="195"/>
      <c r="Q161" s="144"/>
      <c r="R161" s="144"/>
      <c r="S161" s="144"/>
      <c r="T161" s="179">
        <v>0.31</v>
      </c>
      <c r="U161" s="144"/>
      <c r="V161" s="144"/>
      <c r="W161" s="144"/>
      <c r="X161" s="144"/>
      <c r="Y161" s="144"/>
      <c r="Z161" s="144"/>
      <c r="AA161" s="144"/>
    </row>
    <row r="162" spans="1:27" x14ac:dyDescent="0.2">
      <c r="A162" s="117"/>
      <c r="B162" s="117"/>
      <c r="C162" s="117"/>
      <c r="D162" s="117"/>
      <c r="E162" s="117"/>
      <c r="F162" s="117"/>
      <c r="G162" s="187"/>
      <c r="I162" s="144"/>
      <c r="J162" s="144"/>
      <c r="K162" s="144"/>
      <c r="L162" s="144"/>
      <c r="M162" s="144"/>
      <c r="N162" s="148"/>
      <c r="O162" s="195"/>
      <c r="P162" s="195"/>
      <c r="Q162" s="144"/>
      <c r="R162" s="144"/>
      <c r="S162" s="144"/>
      <c r="T162" s="179">
        <v>0.32</v>
      </c>
      <c r="U162" s="144"/>
      <c r="V162" s="144"/>
      <c r="W162" s="144"/>
      <c r="X162" s="144"/>
      <c r="Y162" s="144"/>
      <c r="Z162" s="144"/>
      <c r="AA162" s="144"/>
    </row>
    <row r="163" spans="1:27" x14ac:dyDescent="0.2">
      <c r="A163" s="117"/>
      <c r="B163" s="117"/>
      <c r="C163" s="117"/>
      <c r="D163" s="117"/>
      <c r="E163" s="117"/>
      <c r="F163" s="117"/>
      <c r="G163" s="187"/>
      <c r="I163" s="144"/>
      <c r="J163" s="144"/>
      <c r="K163" s="144"/>
      <c r="L163" s="144"/>
      <c r="M163" s="144"/>
      <c r="N163" s="146"/>
      <c r="O163" s="195"/>
      <c r="P163" s="195"/>
      <c r="Q163" s="144"/>
      <c r="R163" s="144"/>
      <c r="S163" s="144"/>
      <c r="T163" s="179">
        <v>0.33</v>
      </c>
      <c r="U163" s="144"/>
      <c r="V163" s="144"/>
      <c r="W163" s="144"/>
      <c r="X163" s="144"/>
      <c r="Y163" s="144"/>
      <c r="Z163" s="144"/>
      <c r="AA163" s="144"/>
    </row>
    <row r="164" spans="1:27" x14ac:dyDescent="0.2">
      <c r="A164" s="117"/>
      <c r="B164" s="117"/>
      <c r="C164" s="117"/>
      <c r="D164" s="117"/>
      <c r="E164" s="117"/>
      <c r="F164" s="117"/>
      <c r="G164" s="187"/>
      <c r="I164" s="144"/>
      <c r="J164" s="144"/>
      <c r="K164" s="144"/>
      <c r="L164" s="144"/>
      <c r="M164" s="144"/>
      <c r="N164" s="148"/>
      <c r="O164" s="195"/>
      <c r="P164" s="195"/>
      <c r="Q164" s="144"/>
      <c r="R164" s="144"/>
      <c r="S164" s="144"/>
      <c r="T164" s="179">
        <v>0.34</v>
      </c>
      <c r="U164" s="144"/>
      <c r="V164" s="144"/>
      <c r="W164" s="144"/>
      <c r="X164" s="144"/>
      <c r="Y164" s="144"/>
      <c r="Z164" s="144"/>
      <c r="AA164" s="144"/>
    </row>
    <row r="165" spans="1:27" x14ac:dyDescent="0.2">
      <c r="A165" s="117"/>
      <c r="B165" s="117"/>
      <c r="C165" s="117"/>
      <c r="D165" s="117"/>
      <c r="E165" s="117"/>
      <c r="F165" s="117"/>
      <c r="G165" s="187"/>
      <c r="I165" s="144"/>
      <c r="J165" s="144"/>
      <c r="K165" s="144"/>
      <c r="L165" s="144"/>
      <c r="M165" s="144"/>
      <c r="N165" s="148"/>
      <c r="O165" s="194"/>
      <c r="P165" s="194"/>
      <c r="Q165" s="144"/>
      <c r="R165" s="144"/>
      <c r="S165" s="144"/>
      <c r="T165" s="179">
        <v>0.35</v>
      </c>
      <c r="U165" s="144"/>
      <c r="V165" s="144"/>
      <c r="W165" s="144"/>
      <c r="X165" s="144"/>
      <c r="Y165" s="144"/>
      <c r="Z165" s="144"/>
      <c r="AA165" s="144"/>
    </row>
    <row r="166" spans="1:27" x14ac:dyDescent="0.2">
      <c r="A166" s="117"/>
      <c r="B166" s="117"/>
      <c r="C166" s="117"/>
      <c r="D166" s="117"/>
      <c r="E166" s="117"/>
      <c r="F166" s="117"/>
      <c r="G166" s="187"/>
      <c r="I166" s="144"/>
      <c r="J166" s="144"/>
      <c r="K166" s="144"/>
      <c r="L166" s="144"/>
      <c r="M166" s="144"/>
      <c r="N166" s="148"/>
      <c r="O166" s="195"/>
      <c r="P166" s="195"/>
      <c r="Q166" s="144"/>
      <c r="R166" s="144"/>
      <c r="S166" s="144"/>
      <c r="T166" s="179">
        <v>0.36</v>
      </c>
      <c r="U166" s="144"/>
      <c r="V166" s="144"/>
      <c r="W166" s="144"/>
      <c r="X166" s="144"/>
      <c r="Y166" s="144"/>
      <c r="Z166" s="144"/>
      <c r="AA166" s="144"/>
    </row>
    <row r="167" spans="1:27" x14ac:dyDescent="0.2">
      <c r="A167" s="117"/>
      <c r="B167" s="117"/>
      <c r="C167" s="117"/>
      <c r="D167" s="117"/>
      <c r="E167" s="117"/>
      <c r="F167" s="117"/>
      <c r="G167" s="187"/>
      <c r="I167" s="144"/>
      <c r="J167" s="144"/>
      <c r="K167" s="144"/>
      <c r="L167" s="144"/>
      <c r="M167" s="144"/>
      <c r="N167" s="148"/>
      <c r="O167" s="195"/>
      <c r="P167" s="195"/>
      <c r="Q167" s="144"/>
      <c r="R167" s="144"/>
      <c r="S167" s="144"/>
      <c r="T167" s="179">
        <v>0.37</v>
      </c>
      <c r="U167" s="144"/>
      <c r="V167" s="144"/>
      <c r="W167" s="144"/>
      <c r="X167" s="144"/>
      <c r="Y167" s="144"/>
      <c r="Z167" s="144"/>
      <c r="AA167" s="144"/>
    </row>
    <row r="168" spans="1:27" x14ac:dyDescent="0.2">
      <c r="A168" s="117"/>
      <c r="B168" s="117"/>
      <c r="C168" s="117"/>
      <c r="D168" s="117"/>
      <c r="E168" s="117"/>
      <c r="F168" s="117"/>
      <c r="G168" s="187"/>
      <c r="I168" s="144"/>
      <c r="J168" s="144"/>
      <c r="K168" s="144"/>
      <c r="L168" s="144"/>
      <c r="M168" s="144"/>
      <c r="N168" s="148"/>
      <c r="O168" s="195"/>
      <c r="P168" s="195"/>
      <c r="Q168" s="144"/>
      <c r="R168" s="144"/>
      <c r="S168" s="144"/>
      <c r="T168" s="179">
        <v>0.38</v>
      </c>
      <c r="U168" s="144"/>
      <c r="V168" s="144"/>
      <c r="W168" s="144"/>
      <c r="X168" s="144"/>
      <c r="Y168" s="144"/>
      <c r="Z168" s="144"/>
      <c r="AA168" s="144"/>
    </row>
    <row r="169" spans="1:27" x14ac:dyDescent="0.2">
      <c r="A169" s="117"/>
      <c r="B169" s="117"/>
      <c r="C169" s="117"/>
      <c r="D169" s="117"/>
      <c r="E169" s="117"/>
      <c r="F169" s="117"/>
      <c r="G169" s="187"/>
      <c r="I169" s="144"/>
      <c r="J169" s="144"/>
      <c r="K169" s="144"/>
      <c r="L169" s="144"/>
      <c r="M169" s="144"/>
      <c r="N169" s="148"/>
      <c r="O169" s="195"/>
      <c r="P169" s="195"/>
      <c r="Q169" s="144"/>
      <c r="R169" s="144"/>
      <c r="S169" s="144"/>
      <c r="T169" s="179">
        <v>0.39</v>
      </c>
      <c r="U169" s="144"/>
      <c r="V169" s="144"/>
      <c r="W169" s="144"/>
      <c r="X169" s="144"/>
      <c r="Y169" s="144"/>
      <c r="Z169" s="144"/>
      <c r="AA169" s="144"/>
    </row>
    <row r="170" spans="1:27" x14ac:dyDescent="0.2">
      <c r="A170" s="117"/>
      <c r="B170" s="117"/>
      <c r="C170" s="117"/>
      <c r="D170" s="117"/>
      <c r="E170" s="117"/>
      <c r="F170" s="117"/>
      <c r="G170" s="187"/>
      <c r="I170" s="144"/>
      <c r="J170" s="144"/>
      <c r="K170" s="144"/>
      <c r="L170" s="144"/>
      <c r="M170" s="144"/>
      <c r="N170" s="148"/>
      <c r="O170" s="195"/>
      <c r="P170" s="195"/>
      <c r="Q170" s="144"/>
      <c r="R170" s="144"/>
      <c r="S170" s="144"/>
      <c r="T170" s="179">
        <v>0.4</v>
      </c>
      <c r="U170" s="144"/>
      <c r="V170" s="144"/>
      <c r="W170" s="144"/>
      <c r="X170" s="144"/>
      <c r="Y170" s="144"/>
      <c r="Z170" s="144"/>
      <c r="AA170" s="144"/>
    </row>
    <row r="171" spans="1:27" x14ac:dyDescent="0.2">
      <c r="A171" s="117"/>
      <c r="B171" s="117"/>
      <c r="C171" s="117"/>
      <c r="D171" s="117"/>
      <c r="E171" s="117"/>
      <c r="F171" s="117"/>
      <c r="G171" s="187"/>
      <c r="I171" s="144"/>
      <c r="J171" s="144"/>
      <c r="K171" s="144"/>
      <c r="L171" s="144"/>
      <c r="M171" s="144"/>
      <c r="N171" s="148"/>
      <c r="O171" s="195"/>
      <c r="P171" s="195"/>
      <c r="Q171" s="144"/>
      <c r="R171" s="144"/>
      <c r="S171" s="144"/>
      <c r="T171" s="179">
        <v>0.41</v>
      </c>
      <c r="U171" s="144"/>
      <c r="V171" s="144"/>
      <c r="W171" s="144"/>
      <c r="X171" s="144"/>
      <c r="Y171" s="144"/>
      <c r="Z171" s="144"/>
      <c r="AA171" s="144"/>
    </row>
    <row r="172" spans="1:27" x14ac:dyDescent="0.2">
      <c r="A172" s="117"/>
      <c r="B172" s="117"/>
      <c r="C172" s="117"/>
      <c r="D172" s="117"/>
      <c r="E172" s="117"/>
      <c r="F172" s="117"/>
      <c r="G172" s="187"/>
      <c r="I172" s="144"/>
      <c r="J172" s="144"/>
      <c r="K172" s="144"/>
      <c r="L172" s="144"/>
      <c r="M172" s="144"/>
      <c r="N172" s="148"/>
      <c r="O172" s="195"/>
      <c r="P172" s="195"/>
      <c r="Q172" s="144"/>
      <c r="R172" s="144"/>
      <c r="S172" s="144"/>
      <c r="T172" s="179">
        <v>0.42</v>
      </c>
      <c r="U172" s="144"/>
      <c r="V172" s="144"/>
      <c r="W172" s="144"/>
      <c r="X172" s="144"/>
      <c r="Y172" s="144"/>
      <c r="Z172" s="144"/>
      <c r="AA172" s="144"/>
    </row>
    <row r="173" spans="1:27" x14ac:dyDescent="0.2">
      <c r="A173" s="117"/>
      <c r="B173" s="117"/>
      <c r="C173" s="117"/>
      <c r="D173" s="117"/>
      <c r="E173" s="117"/>
      <c r="F173" s="117"/>
      <c r="G173" s="187"/>
      <c r="I173" s="144"/>
      <c r="J173" s="144"/>
      <c r="K173" s="144"/>
      <c r="L173" s="144"/>
      <c r="M173" s="144"/>
      <c r="N173" s="148"/>
      <c r="O173" s="195"/>
      <c r="P173" s="195"/>
      <c r="Q173" s="144"/>
      <c r="R173" s="144"/>
      <c r="S173" s="144"/>
      <c r="T173" s="179">
        <v>0.43</v>
      </c>
      <c r="U173" s="144"/>
      <c r="V173" s="144"/>
      <c r="W173" s="144"/>
      <c r="X173" s="144"/>
      <c r="Y173" s="144"/>
      <c r="Z173" s="144"/>
      <c r="AA173" s="144"/>
    </row>
    <row r="174" spans="1:27" x14ac:dyDescent="0.2">
      <c r="A174" s="117"/>
      <c r="B174" s="117"/>
      <c r="C174" s="117"/>
      <c r="D174" s="117"/>
      <c r="E174" s="117"/>
      <c r="F174" s="117"/>
      <c r="G174" s="187"/>
      <c r="I174" s="144"/>
      <c r="J174" s="144"/>
      <c r="K174" s="144"/>
      <c r="L174" s="144"/>
      <c r="M174" s="144"/>
      <c r="N174" s="148"/>
      <c r="O174" s="195"/>
      <c r="P174" s="195"/>
      <c r="Q174" s="144"/>
      <c r="R174" s="144"/>
      <c r="S174" s="144"/>
      <c r="T174" s="179">
        <v>0.44</v>
      </c>
      <c r="U174" s="144"/>
      <c r="V174" s="144"/>
      <c r="W174" s="144"/>
      <c r="X174" s="144"/>
      <c r="Y174" s="144"/>
      <c r="Z174" s="144"/>
      <c r="AA174" s="144"/>
    </row>
    <row r="175" spans="1:27" x14ac:dyDescent="0.2">
      <c r="A175" s="117"/>
      <c r="B175" s="117"/>
      <c r="C175" s="117"/>
      <c r="D175" s="117"/>
      <c r="E175" s="117"/>
      <c r="F175" s="117"/>
      <c r="G175" s="187"/>
      <c r="I175" s="144"/>
      <c r="J175" s="144"/>
      <c r="K175" s="144"/>
      <c r="L175" s="144"/>
      <c r="M175" s="144"/>
      <c r="N175" s="148"/>
      <c r="O175" s="195"/>
      <c r="P175" s="195"/>
      <c r="Q175" s="144"/>
      <c r="R175" s="144"/>
      <c r="S175" s="144"/>
      <c r="T175" s="179">
        <v>0.45</v>
      </c>
      <c r="U175" s="144"/>
      <c r="V175" s="144"/>
      <c r="W175" s="144"/>
      <c r="X175" s="144"/>
      <c r="Y175" s="144"/>
      <c r="Z175" s="144"/>
      <c r="AA175" s="144"/>
    </row>
    <row r="176" spans="1:27" x14ac:dyDescent="0.2">
      <c r="A176" s="117"/>
      <c r="B176" s="117"/>
      <c r="C176" s="117"/>
      <c r="D176" s="117"/>
      <c r="E176" s="117"/>
      <c r="F176" s="117"/>
      <c r="G176" s="187"/>
      <c r="I176" s="144"/>
      <c r="J176" s="144"/>
      <c r="K176" s="144"/>
      <c r="L176" s="144"/>
      <c r="M176" s="144"/>
      <c r="N176" s="148"/>
      <c r="O176" s="195"/>
      <c r="P176" s="195"/>
      <c r="Q176" s="144"/>
      <c r="R176" s="144"/>
      <c r="S176" s="144"/>
      <c r="T176" s="179">
        <v>0.46</v>
      </c>
      <c r="U176" s="144"/>
      <c r="V176" s="144"/>
      <c r="W176" s="144"/>
      <c r="X176" s="144"/>
      <c r="Y176" s="144"/>
      <c r="Z176" s="144"/>
      <c r="AA176" s="144"/>
    </row>
    <row r="177" spans="1:27" x14ac:dyDescent="0.2">
      <c r="A177" s="117"/>
      <c r="B177" s="117"/>
      <c r="C177" s="117"/>
      <c r="D177" s="117"/>
      <c r="E177" s="117"/>
      <c r="F177" s="117"/>
      <c r="G177" s="187"/>
      <c r="I177" s="144"/>
      <c r="J177" s="144"/>
      <c r="K177" s="144"/>
      <c r="L177" s="144"/>
      <c r="M177" s="144"/>
      <c r="N177" s="148"/>
      <c r="O177" s="195"/>
      <c r="P177" s="195"/>
      <c r="Q177" s="144"/>
      <c r="R177" s="144"/>
      <c r="S177" s="144"/>
      <c r="T177" s="179">
        <v>0.47</v>
      </c>
      <c r="U177" s="144"/>
      <c r="V177" s="144"/>
      <c r="W177" s="144"/>
      <c r="X177" s="144"/>
      <c r="Y177" s="144"/>
      <c r="Z177" s="144"/>
      <c r="AA177" s="144"/>
    </row>
    <row r="178" spans="1:27" x14ac:dyDescent="0.2">
      <c r="A178" s="117"/>
      <c r="B178" s="117"/>
      <c r="C178" s="117"/>
      <c r="D178" s="117"/>
      <c r="E178" s="117"/>
      <c r="F178" s="117"/>
      <c r="G178" s="187"/>
      <c r="I178" s="144"/>
      <c r="J178" s="144"/>
      <c r="K178" s="144"/>
      <c r="L178" s="144"/>
      <c r="M178" s="144"/>
      <c r="N178" s="148"/>
      <c r="O178" s="195"/>
      <c r="P178" s="195"/>
      <c r="Q178" s="144"/>
      <c r="R178" s="144"/>
      <c r="S178" s="144"/>
      <c r="T178" s="179">
        <v>0.48</v>
      </c>
      <c r="U178" s="144"/>
      <c r="V178" s="144"/>
      <c r="W178" s="144"/>
      <c r="X178" s="144"/>
      <c r="Y178" s="144"/>
      <c r="Z178" s="144"/>
      <c r="AA178" s="144"/>
    </row>
    <row r="179" spans="1:27" x14ac:dyDescent="0.2">
      <c r="A179" s="117"/>
      <c r="B179" s="117"/>
      <c r="C179" s="117"/>
      <c r="D179" s="117"/>
      <c r="E179" s="117"/>
      <c r="F179" s="117"/>
      <c r="G179" s="187"/>
      <c r="I179" s="144"/>
      <c r="J179" s="144"/>
      <c r="K179" s="144"/>
      <c r="L179" s="144"/>
      <c r="M179" s="144"/>
      <c r="N179" s="148"/>
      <c r="O179" s="195"/>
      <c r="P179" s="195"/>
      <c r="Q179" s="144"/>
      <c r="R179" s="144"/>
      <c r="S179" s="144"/>
      <c r="T179" s="179">
        <v>0.49</v>
      </c>
      <c r="U179" s="144"/>
      <c r="V179" s="144"/>
      <c r="W179" s="144"/>
      <c r="X179" s="144"/>
      <c r="Y179" s="144"/>
      <c r="Z179" s="144"/>
      <c r="AA179" s="144"/>
    </row>
    <row r="180" spans="1:27" x14ac:dyDescent="0.2">
      <c r="A180" s="117"/>
      <c r="B180" s="117"/>
      <c r="C180" s="117"/>
      <c r="D180" s="117"/>
      <c r="E180" s="117"/>
      <c r="F180" s="117"/>
      <c r="G180" s="187"/>
      <c r="I180" s="144"/>
      <c r="J180" s="144"/>
      <c r="K180" s="144"/>
      <c r="L180" s="144"/>
      <c r="M180" s="144"/>
      <c r="N180" s="148"/>
      <c r="O180" s="195"/>
      <c r="P180" s="195"/>
      <c r="Q180" s="144"/>
      <c r="R180" s="144"/>
      <c r="S180" s="144"/>
      <c r="T180" s="179">
        <v>0.5</v>
      </c>
      <c r="U180" s="144"/>
      <c r="V180" s="144"/>
      <c r="W180" s="144"/>
      <c r="X180" s="144"/>
      <c r="Y180" s="144"/>
      <c r="Z180" s="144"/>
      <c r="AA180" s="144"/>
    </row>
    <row r="181" spans="1:27" x14ac:dyDescent="0.2">
      <c r="A181" s="117"/>
      <c r="B181" s="117"/>
      <c r="C181" s="117"/>
      <c r="D181" s="117"/>
      <c r="E181" s="117"/>
      <c r="F181" s="117"/>
      <c r="G181" s="187"/>
      <c r="I181" s="144"/>
      <c r="J181" s="144"/>
      <c r="K181" s="144"/>
      <c r="L181" s="144"/>
      <c r="M181" s="144"/>
      <c r="N181" s="148"/>
      <c r="O181" s="195"/>
      <c r="P181" s="195"/>
      <c r="Q181" s="144"/>
      <c r="R181" s="144"/>
      <c r="S181" s="144"/>
      <c r="T181" s="179">
        <v>0.51</v>
      </c>
      <c r="U181" s="144"/>
      <c r="V181" s="144"/>
      <c r="W181" s="144"/>
      <c r="X181" s="144"/>
      <c r="Y181" s="144"/>
      <c r="Z181" s="144"/>
      <c r="AA181" s="144"/>
    </row>
    <row r="182" spans="1:27" x14ac:dyDescent="0.2">
      <c r="A182" s="117"/>
      <c r="B182" s="117"/>
      <c r="C182" s="117"/>
      <c r="D182" s="117"/>
      <c r="E182" s="117"/>
      <c r="F182" s="117"/>
      <c r="G182" s="187"/>
      <c r="I182" s="144"/>
      <c r="J182" s="144"/>
      <c r="K182" s="144"/>
      <c r="L182" s="144"/>
      <c r="M182" s="144"/>
      <c r="N182" s="148"/>
      <c r="O182" s="195"/>
      <c r="P182" s="195"/>
      <c r="Q182" s="144"/>
      <c r="R182" s="144"/>
      <c r="S182" s="144"/>
      <c r="T182" s="179">
        <v>0.52</v>
      </c>
      <c r="U182" s="144"/>
      <c r="V182" s="144"/>
      <c r="W182" s="144"/>
      <c r="X182" s="144"/>
      <c r="Y182" s="144"/>
      <c r="Z182" s="144"/>
      <c r="AA182" s="144"/>
    </row>
    <row r="183" spans="1:27" x14ac:dyDescent="0.2">
      <c r="A183" s="117"/>
      <c r="B183" s="117"/>
      <c r="C183" s="117"/>
      <c r="D183" s="117"/>
      <c r="E183" s="117"/>
      <c r="F183" s="117"/>
      <c r="G183" s="187"/>
      <c r="I183" s="144"/>
      <c r="J183" s="144"/>
      <c r="K183" s="144"/>
      <c r="L183" s="144"/>
      <c r="M183" s="144"/>
      <c r="N183" s="148"/>
      <c r="O183" s="195"/>
      <c r="P183" s="195"/>
      <c r="Q183" s="144"/>
      <c r="R183" s="144"/>
      <c r="S183" s="144"/>
      <c r="T183" s="179">
        <v>0.53</v>
      </c>
      <c r="U183" s="144"/>
      <c r="V183" s="144"/>
      <c r="W183" s="144"/>
      <c r="X183" s="144"/>
      <c r="Y183" s="144"/>
      <c r="Z183" s="144"/>
      <c r="AA183" s="144"/>
    </row>
    <row r="184" spans="1:27" x14ac:dyDescent="0.2">
      <c r="A184" s="117"/>
      <c r="B184" s="117"/>
      <c r="C184" s="117"/>
      <c r="D184" s="117"/>
      <c r="E184" s="117"/>
      <c r="F184" s="117"/>
      <c r="G184" s="187"/>
      <c r="I184" s="144"/>
      <c r="J184" s="144"/>
      <c r="K184" s="144"/>
      <c r="L184" s="144"/>
      <c r="M184" s="144"/>
      <c r="N184" s="148"/>
      <c r="O184" s="195"/>
      <c r="P184" s="195"/>
      <c r="Q184" s="144"/>
      <c r="R184" s="144"/>
      <c r="S184" s="144"/>
      <c r="T184" s="179">
        <v>0.54</v>
      </c>
      <c r="U184" s="144"/>
      <c r="V184" s="144"/>
      <c r="W184" s="144"/>
      <c r="X184" s="144"/>
      <c r="Y184" s="144"/>
      <c r="Z184" s="144"/>
      <c r="AA184" s="144"/>
    </row>
    <row r="185" spans="1:27" x14ac:dyDescent="0.2">
      <c r="A185" s="117"/>
      <c r="B185" s="117"/>
      <c r="C185" s="117"/>
      <c r="D185" s="117"/>
      <c r="E185" s="117"/>
      <c r="F185" s="117"/>
      <c r="G185" s="187"/>
      <c r="I185" s="144"/>
      <c r="J185" s="144"/>
      <c r="K185" s="144"/>
      <c r="L185" s="144"/>
      <c r="M185" s="144"/>
      <c r="N185" s="148"/>
      <c r="O185" s="195"/>
      <c r="P185" s="195"/>
      <c r="Q185" s="144"/>
      <c r="R185" s="144"/>
      <c r="S185" s="144"/>
      <c r="T185" s="179">
        <v>0.55000000000000004</v>
      </c>
      <c r="U185" s="144"/>
      <c r="V185" s="144"/>
      <c r="W185" s="144"/>
      <c r="X185" s="144"/>
      <c r="Y185" s="144"/>
      <c r="Z185" s="144"/>
      <c r="AA185" s="144"/>
    </row>
    <row r="186" spans="1:27" x14ac:dyDescent="0.2">
      <c r="A186" s="117"/>
      <c r="B186" s="117"/>
      <c r="C186" s="117"/>
      <c r="D186" s="117"/>
      <c r="E186" s="117"/>
      <c r="F186" s="117"/>
      <c r="G186" s="187"/>
      <c r="I186" s="144"/>
      <c r="J186" s="144"/>
      <c r="K186" s="144"/>
      <c r="L186" s="144"/>
      <c r="M186" s="144"/>
      <c r="N186" s="148"/>
      <c r="O186" s="195"/>
      <c r="P186" s="195"/>
      <c r="Q186" s="144"/>
      <c r="R186" s="144"/>
      <c r="S186" s="144"/>
      <c r="T186" s="179">
        <v>0.56000000000000005</v>
      </c>
      <c r="U186" s="144"/>
      <c r="V186" s="144"/>
      <c r="W186" s="144"/>
      <c r="X186" s="144"/>
      <c r="Y186" s="144"/>
      <c r="Z186" s="144"/>
      <c r="AA186" s="144"/>
    </row>
    <row r="187" spans="1:27" x14ac:dyDescent="0.2">
      <c r="A187" s="117"/>
      <c r="B187" s="117"/>
      <c r="C187" s="117"/>
      <c r="D187" s="117"/>
      <c r="E187" s="117"/>
      <c r="F187" s="117"/>
      <c r="G187" s="187"/>
      <c r="I187" s="144"/>
      <c r="J187" s="144"/>
      <c r="K187" s="144"/>
      <c r="L187" s="144"/>
      <c r="M187" s="144"/>
      <c r="N187" s="148"/>
      <c r="O187" s="195"/>
      <c r="P187" s="195"/>
      <c r="Q187" s="144"/>
      <c r="R187" s="144"/>
      <c r="S187" s="144"/>
      <c r="T187" s="179">
        <v>0.56999999999999995</v>
      </c>
      <c r="U187" s="144"/>
      <c r="V187" s="144"/>
      <c r="W187" s="144"/>
      <c r="X187" s="144"/>
      <c r="Y187" s="144"/>
      <c r="Z187" s="144"/>
      <c r="AA187" s="144"/>
    </row>
    <row r="188" spans="1:27" x14ac:dyDescent="0.2">
      <c r="A188" s="117"/>
      <c r="B188" s="117"/>
      <c r="C188" s="117"/>
      <c r="D188" s="117"/>
      <c r="E188" s="117"/>
      <c r="F188" s="117"/>
      <c r="G188" s="187"/>
      <c r="I188" s="144"/>
      <c r="J188" s="144"/>
      <c r="K188" s="144"/>
      <c r="L188" s="144"/>
      <c r="M188" s="144"/>
      <c r="N188" s="148"/>
      <c r="O188" s="195"/>
      <c r="P188" s="195"/>
      <c r="Q188" s="144"/>
      <c r="R188" s="144"/>
      <c r="S188" s="144"/>
      <c r="T188" s="179">
        <v>0.57999999999999996</v>
      </c>
      <c r="U188" s="144"/>
      <c r="V188" s="144"/>
      <c r="W188" s="144"/>
      <c r="X188" s="144"/>
      <c r="Y188" s="144"/>
      <c r="Z188" s="144"/>
      <c r="AA188" s="144"/>
    </row>
    <row r="189" spans="1:27" x14ac:dyDescent="0.2">
      <c r="A189" s="117"/>
      <c r="B189" s="117"/>
      <c r="C189" s="117"/>
      <c r="D189" s="117"/>
      <c r="E189" s="117"/>
      <c r="F189" s="117"/>
      <c r="G189" s="187"/>
      <c r="I189" s="144"/>
      <c r="J189" s="144"/>
      <c r="K189" s="144"/>
      <c r="L189" s="144"/>
      <c r="M189" s="144"/>
      <c r="N189" s="148"/>
      <c r="O189" s="195"/>
      <c r="P189" s="195"/>
      <c r="Q189" s="144"/>
      <c r="R189" s="144"/>
      <c r="S189" s="144"/>
      <c r="T189" s="179">
        <v>0.59</v>
      </c>
      <c r="U189" s="144"/>
      <c r="V189" s="144"/>
      <c r="W189" s="144"/>
      <c r="X189" s="144"/>
      <c r="Y189" s="144"/>
      <c r="Z189" s="144"/>
      <c r="AA189" s="144"/>
    </row>
    <row r="190" spans="1:27" x14ac:dyDescent="0.2">
      <c r="A190" s="117"/>
      <c r="B190" s="117"/>
      <c r="C190" s="117"/>
      <c r="D190" s="117"/>
      <c r="E190" s="117"/>
      <c r="F190" s="117"/>
      <c r="G190" s="187"/>
      <c r="I190" s="144"/>
      <c r="J190" s="144"/>
      <c r="K190" s="144"/>
      <c r="L190" s="144"/>
      <c r="M190" s="144"/>
      <c r="N190" s="148"/>
      <c r="O190" s="195"/>
      <c r="P190" s="195"/>
      <c r="Q190" s="144"/>
      <c r="R190" s="144"/>
      <c r="S190" s="144"/>
      <c r="T190" s="179">
        <v>0.6</v>
      </c>
      <c r="U190" s="144"/>
      <c r="V190" s="144"/>
      <c r="W190" s="144"/>
      <c r="X190" s="144"/>
      <c r="Y190" s="144"/>
      <c r="Z190" s="144"/>
      <c r="AA190" s="144"/>
    </row>
    <row r="191" spans="1:27" x14ac:dyDescent="0.2">
      <c r="A191" s="117"/>
      <c r="B191" s="117"/>
      <c r="C191" s="117"/>
      <c r="D191" s="117"/>
      <c r="E191" s="117"/>
      <c r="F191" s="117"/>
      <c r="G191" s="187"/>
      <c r="I191" s="144"/>
      <c r="J191" s="144"/>
      <c r="K191" s="144"/>
      <c r="L191" s="144"/>
      <c r="M191" s="144"/>
      <c r="N191" s="148"/>
      <c r="O191" s="195"/>
      <c r="P191" s="195"/>
      <c r="Q191" s="144"/>
      <c r="R191" s="144"/>
      <c r="S191" s="144"/>
      <c r="T191" s="179">
        <v>0.61</v>
      </c>
      <c r="U191" s="144"/>
      <c r="V191" s="144"/>
      <c r="W191" s="144"/>
      <c r="X191" s="144"/>
      <c r="Y191" s="144"/>
      <c r="Z191" s="144"/>
      <c r="AA191" s="144"/>
    </row>
    <row r="192" spans="1:27" x14ac:dyDescent="0.2">
      <c r="A192" s="117"/>
      <c r="B192" s="117"/>
      <c r="C192" s="117"/>
      <c r="D192" s="117"/>
      <c r="E192" s="117"/>
      <c r="F192" s="117"/>
      <c r="G192" s="187"/>
      <c r="I192" s="144"/>
      <c r="J192" s="144"/>
      <c r="K192" s="144"/>
      <c r="L192" s="144"/>
      <c r="M192" s="144"/>
      <c r="N192" s="148"/>
      <c r="O192" s="195"/>
      <c r="P192" s="195"/>
      <c r="Q192" s="144"/>
      <c r="R192" s="144"/>
      <c r="S192" s="144"/>
      <c r="T192" s="179">
        <v>0.62</v>
      </c>
      <c r="U192" s="144"/>
      <c r="V192" s="144"/>
      <c r="W192" s="144"/>
      <c r="X192" s="144"/>
      <c r="Y192" s="144"/>
      <c r="Z192" s="144"/>
      <c r="AA192" s="144"/>
    </row>
    <row r="193" spans="1:40" x14ac:dyDescent="0.2">
      <c r="A193" s="117"/>
      <c r="B193" s="117"/>
      <c r="C193" s="117"/>
      <c r="D193" s="117"/>
      <c r="E193" s="117"/>
      <c r="F193" s="117"/>
      <c r="G193" s="187"/>
      <c r="I193" s="144"/>
      <c r="J193" s="144"/>
      <c r="K193" s="144"/>
      <c r="L193" s="144"/>
      <c r="M193" s="144"/>
      <c r="N193" s="148"/>
      <c r="O193" s="195"/>
      <c r="P193" s="195"/>
      <c r="Q193" s="144"/>
      <c r="R193" s="144"/>
      <c r="S193" s="144"/>
      <c r="T193" s="179">
        <v>0.63</v>
      </c>
      <c r="U193" s="144"/>
      <c r="V193" s="144"/>
      <c r="W193" s="144"/>
      <c r="X193" s="144"/>
      <c r="Y193" s="144"/>
      <c r="Z193" s="144"/>
      <c r="AA193" s="144"/>
    </row>
    <row r="194" spans="1:40" x14ac:dyDescent="0.2">
      <c r="A194" s="117"/>
      <c r="B194" s="117"/>
      <c r="C194" s="117"/>
      <c r="D194" s="117"/>
      <c r="E194" s="117"/>
      <c r="F194" s="117"/>
      <c r="G194" s="187"/>
      <c r="N194" s="148"/>
      <c r="O194" s="195"/>
      <c r="P194" s="195"/>
      <c r="Q194" s="144"/>
      <c r="R194" s="144"/>
      <c r="S194" s="144"/>
      <c r="T194" s="179">
        <v>0.64</v>
      </c>
      <c r="U194" s="144"/>
      <c r="V194" s="144"/>
      <c r="W194" s="144"/>
      <c r="X194" s="144"/>
      <c r="Y194" s="144"/>
      <c r="Z194" s="144"/>
    </row>
    <row r="195" spans="1:40" x14ac:dyDescent="0.2">
      <c r="A195" s="117"/>
      <c r="B195" s="117"/>
      <c r="C195" s="117"/>
      <c r="D195" s="117"/>
      <c r="E195" s="117"/>
      <c r="F195" s="117"/>
      <c r="G195" s="187"/>
      <c r="N195" s="148"/>
      <c r="O195" s="195"/>
      <c r="P195" s="195"/>
      <c r="Q195" s="144"/>
      <c r="R195" s="144"/>
      <c r="S195" s="144"/>
      <c r="T195" s="179">
        <v>0.65</v>
      </c>
      <c r="U195" s="144"/>
      <c r="V195" s="144"/>
      <c r="W195" s="144"/>
      <c r="X195" s="144"/>
      <c r="Y195" s="144"/>
      <c r="Z195" s="144"/>
    </row>
    <row r="196" spans="1:40" x14ac:dyDescent="0.2">
      <c r="A196" s="117"/>
      <c r="B196" s="117"/>
      <c r="C196" s="117"/>
      <c r="D196" s="117"/>
      <c r="E196" s="117"/>
      <c r="F196" s="117"/>
      <c r="G196" s="187"/>
      <c r="N196" s="148"/>
      <c r="O196" s="195"/>
      <c r="P196" s="195"/>
      <c r="Q196" s="144"/>
      <c r="R196" s="144"/>
      <c r="S196" s="144"/>
      <c r="T196" s="179">
        <v>0.66</v>
      </c>
      <c r="U196" s="144"/>
      <c r="V196" s="144"/>
      <c r="W196" s="144"/>
      <c r="X196" s="144"/>
      <c r="Y196" s="144"/>
      <c r="Z196" s="144"/>
    </row>
    <row r="197" spans="1:40" x14ac:dyDescent="0.2">
      <c r="A197" s="117"/>
      <c r="B197" s="117"/>
      <c r="C197" s="117"/>
      <c r="D197" s="117"/>
      <c r="E197" s="117"/>
      <c r="F197" s="117"/>
      <c r="G197" s="187"/>
      <c r="N197" s="148"/>
      <c r="O197" s="195"/>
      <c r="P197" s="195"/>
      <c r="Q197" s="144"/>
      <c r="R197" s="144"/>
      <c r="S197" s="144"/>
      <c r="T197" s="179">
        <v>0.67</v>
      </c>
      <c r="U197" s="144"/>
      <c r="V197" s="144"/>
      <c r="W197" s="144"/>
      <c r="X197" s="144"/>
      <c r="Y197" s="144"/>
      <c r="Z197" s="144"/>
    </row>
    <row r="198" spans="1:40" x14ac:dyDescent="0.2">
      <c r="A198" s="117"/>
      <c r="B198" s="117"/>
      <c r="C198" s="117"/>
      <c r="D198" s="117"/>
      <c r="E198" s="117"/>
      <c r="F198" s="117"/>
      <c r="G198" s="187"/>
      <c r="N198" s="148"/>
      <c r="O198" s="195"/>
      <c r="P198" s="195"/>
      <c r="Q198" s="144"/>
      <c r="R198" s="144"/>
      <c r="S198" s="144"/>
      <c r="T198" s="179">
        <v>0.68</v>
      </c>
      <c r="U198" s="144"/>
      <c r="V198" s="144"/>
      <c r="W198" s="144"/>
      <c r="X198" s="144"/>
      <c r="Y198" s="144"/>
      <c r="Z198" s="144"/>
    </row>
    <row r="199" spans="1:40" x14ac:dyDescent="0.2">
      <c r="A199" s="117"/>
      <c r="B199" s="117"/>
      <c r="C199" s="117"/>
      <c r="D199" s="117"/>
      <c r="E199" s="117"/>
      <c r="F199" s="117"/>
      <c r="G199" s="187"/>
      <c r="N199" s="148"/>
      <c r="O199" s="195"/>
      <c r="P199" s="195"/>
      <c r="Q199" s="144"/>
      <c r="R199" s="144"/>
      <c r="S199" s="144"/>
      <c r="T199" s="179">
        <v>0.69</v>
      </c>
      <c r="U199" s="144"/>
      <c r="V199" s="144"/>
      <c r="W199" s="144"/>
      <c r="X199" s="144"/>
      <c r="Y199" s="144"/>
      <c r="Z199" s="144"/>
    </row>
    <row r="200" spans="1:40" x14ac:dyDescent="0.2">
      <c r="A200" s="117"/>
      <c r="B200" s="117"/>
      <c r="C200" s="117"/>
      <c r="D200" s="117"/>
      <c r="E200" s="117"/>
      <c r="F200" s="117"/>
      <c r="G200" s="187"/>
      <c r="N200" s="148"/>
      <c r="O200" s="195"/>
      <c r="P200" s="195"/>
      <c r="Q200" s="144"/>
      <c r="R200" s="144"/>
      <c r="S200" s="144"/>
      <c r="T200" s="179">
        <v>0.7</v>
      </c>
      <c r="U200" s="144"/>
      <c r="V200" s="144"/>
      <c r="W200" s="144"/>
      <c r="X200" s="144"/>
      <c r="Y200" s="144"/>
      <c r="Z200" s="144"/>
    </row>
    <row r="201" spans="1:40" s="149" customFormat="1" x14ac:dyDescent="0.2">
      <c r="A201" s="117"/>
      <c r="B201" s="117"/>
      <c r="C201" s="117"/>
      <c r="D201" s="117"/>
      <c r="E201" s="117"/>
      <c r="F201" s="117"/>
      <c r="G201" s="187"/>
      <c r="H201" s="144"/>
      <c r="N201" s="148"/>
      <c r="O201" s="195"/>
      <c r="P201" s="195"/>
      <c r="Q201" s="144"/>
      <c r="R201" s="144"/>
      <c r="S201" s="144"/>
      <c r="T201" s="179">
        <v>0.71</v>
      </c>
      <c r="U201" s="144"/>
      <c r="V201" s="144"/>
      <c r="W201" s="144"/>
      <c r="X201" s="144"/>
      <c r="Y201" s="144"/>
      <c r="Z201" s="144"/>
      <c r="AB201" s="144"/>
      <c r="AC201" s="146"/>
      <c r="AD201" s="144"/>
      <c r="AE201" s="144"/>
      <c r="AF201" s="144"/>
      <c r="AG201" s="144"/>
      <c r="AH201" s="144"/>
      <c r="AI201" s="144"/>
      <c r="AJ201" s="144"/>
      <c r="AK201" s="144"/>
      <c r="AL201" s="144"/>
      <c r="AM201" s="144"/>
      <c r="AN201" s="147"/>
    </row>
    <row r="202" spans="1:40" s="149" customFormat="1" x14ac:dyDescent="0.2">
      <c r="A202" s="117"/>
      <c r="B202" s="117"/>
      <c r="C202" s="117"/>
      <c r="D202" s="117"/>
      <c r="E202" s="117"/>
      <c r="F202" s="117"/>
      <c r="G202" s="187"/>
      <c r="H202" s="144"/>
      <c r="N202" s="196"/>
      <c r="O202" s="195"/>
      <c r="P202" s="195"/>
      <c r="Q202" s="144"/>
      <c r="R202" s="144"/>
      <c r="S202" s="144"/>
      <c r="T202" s="179">
        <v>0.72</v>
      </c>
      <c r="U202" s="144"/>
      <c r="V202" s="144"/>
      <c r="W202" s="144"/>
      <c r="X202" s="144"/>
      <c r="Y202" s="144"/>
      <c r="Z202" s="144"/>
      <c r="AB202" s="144"/>
      <c r="AC202" s="146"/>
      <c r="AD202" s="144"/>
      <c r="AE202" s="144"/>
      <c r="AF202" s="144"/>
      <c r="AG202" s="144"/>
      <c r="AH202" s="144"/>
      <c r="AI202" s="144"/>
      <c r="AJ202" s="144"/>
      <c r="AK202" s="144"/>
      <c r="AL202" s="144"/>
      <c r="AM202" s="144"/>
      <c r="AN202" s="147"/>
    </row>
    <row r="203" spans="1:40" s="149" customFormat="1" x14ac:dyDescent="0.2">
      <c r="A203" s="117"/>
      <c r="B203" s="117"/>
      <c r="C203" s="117"/>
      <c r="D203" s="117"/>
      <c r="E203" s="117"/>
      <c r="F203" s="117"/>
      <c r="G203" s="187"/>
      <c r="H203" s="144"/>
      <c r="N203" s="196"/>
      <c r="O203" s="195"/>
      <c r="P203" s="195"/>
      <c r="Q203" s="144"/>
      <c r="R203" s="144"/>
      <c r="S203" s="144"/>
      <c r="T203" s="179">
        <v>0.73</v>
      </c>
      <c r="U203" s="144"/>
      <c r="V203" s="144"/>
      <c r="W203" s="144"/>
      <c r="X203" s="144"/>
      <c r="Y203" s="144"/>
      <c r="Z203" s="144"/>
      <c r="AB203" s="144"/>
      <c r="AC203" s="146"/>
      <c r="AD203" s="144"/>
      <c r="AE203" s="144"/>
      <c r="AF203" s="144"/>
      <c r="AG203" s="144"/>
      <c r="AH203" s="144"/>
      <c r="AI203" s="144"/>
      <c r="AJ203" s="144"/>
      <c r="AK203" s="144"/>
      <c r="AL203" s="144"/>
      <c r="AM203" s="144"/>
      <c r="AN203" s="147"/>
    </row>
    <row r="204" spans="1:40" s="149" customFormat="1" x14ac:dyDescent="0.2">
      <c r="A204" s="117"/>
      <c r="B204" s="117"/>
      <c r="C204" s="117"/>
      <c r="D204" s="117"/>
      <c r="E204" s="117"/>
      <c r="F204" s="117"/>
      <c r="G204" s="187"/>
      <c r="H204" s="144"/>
      <c r="N204" s="196"/>
      <c r="O204" s="195"/>
      <c r="P204" s="195"/>
      <c r="Q204" s="144"/>
      <c r="R204" s="144"/>
      <c r="S204" s="144"/>
      <c r="T204" s="179">
        <v>0.74</v>
      </c>
      <c r="U204" s="144"/>
      <c r="V204" s="144"/>
      <c r="W204" s="144"/>
      <c r="X204" s="144"/>
      <c r="Y204" s="144"/>
      <c r="Z204" s="144"/>
      <c r="AB204" s="144"/>
      <c r="AC204" s="146"/>
      <c r="AD204" s="144"/>
      <c r="AE204" s="144"/>
      <c r="AF204" s="144"/>
      <c r="AG204" s="144"/>
      <c r="AH204" s="144"/>
      <c r="AI204" s="144"/>
      <c r="AJ204" s="144"/>
      <c r="AK204" s="144"/>
      <c r="AL204" s="144"/>
      <c r="AM204" s="144"/>
      <c r="AN204" s="147"/>
    </row>
    <row r="205" spans="1:40" s="149" customFormat="1" x14ac:dyDescent="0.2">
      <c r="A205" s="117"/>
      <c r="B205" s="117"/>
      <c r="C205" s="117"/>
      <c r="D205" s="117"/>
      <c r="E205" s="117"/>
      <c r="F205" s="117"/>
      <c r="G205" s="187"/>
      <c r="H205" s="144"/>
      <c r="N205" s="196"/>
      <c r="O205" s="195"/>
      <c r="P205" s="195"/>
      <c r="Q205" s="144"/>
      <c r="R205" s="144"/>
      <c r="S205" s="144"/>
      <c r="T205" s="179">
        <v>0.75</v>
      </c>
      <c r="U205" s="144"/>
      <c r="V205" s="144"/>
      <c r="W205" s="144"/>
      <c r="X205" s="144"/>
      <c r="Y205" s="144"/>
      <c r="Z205" s="144"/>
      <c r="AB205" s="144"/>
      <c r="AC205" s="146"/>
      <c r="AD205" s="144"/>
      <c r="AE205" s="144"/>
      <c r="AF205" s="144"/>
      <c r="AG205" s="144"/>
      <c r="AH205" s="144"/>
      <c r="AI205" s="144"/>
      <c r="AJ205" s="144"/>
      <c r="AK205" s="144"/>
      <c r="AL205" s="144"/>
      <c r="AM205" s="144"/>
      <c r="AN205" s="147"/>
    </row>
    <row r="206" spans="1:40" s="149" customFormat="1" x14ac:dyDescent="0.2">
      <c r="A206" s="117"/>
      <c r="B206" s="117"/>
      <c r="C206" s="117"/>
      <c r="D206" s="117"/>
      <c r="E206" s="117"/>
      <c r="F206" s="117"/>
      <c r="G206" s="187"/>
      <c r="H206" s="144"/>
      <c r="N206" s="196"/>
      <c r="O206" s="195"/>
      <c r="P206" s="195"/>
      <c r="Q206" s="144"/>
      <c r="R206" s="144"/>
      <c r="S206" s="144"/>
      <c r="T206" s="179">
        <v>0.76</v>
      </c>
      <c r="U206" s="144"/>
      <c r="V206" s="144"/>
      <c r="W206" s="144"/>
      <c r="X206" s="144"/>
      <c r="Y206" s="144"/>
      <c r="Z206" s="144"/>
      <c r="AB206" s="144"/>
      <c r="AC206" s="146"/>
      <c r="AD206" s="144"/>
      <c r="AE206" s="144"/>
      <c r="AF206" s="144"/>
      <c r="AG206" s="144"/>
      <c r="AH206" s="144"/>
      <c r="AI206" s="144"/>
      <c r="AJ206" s="144"/>
      <c r="AK206" s="144"/>
      <c r="AL206" s="144"/>
      <c r="AM206" s="144"/>
      <c r="AN206" s="147"/>
    </row>
    <row r="207" spans="1:40" s="149" customFormat="1" x14ac:dyDescent="0.2">
      <c r="A207" s="117"/>
      <c r="B207" s="117"/>
      <c r="C207" s="117"/>
      <c r="D207" s="117"/>
      <c r="E207" s="117"/>
      <c r="F207" s="117"/>
      <c r="G207" s="187"/>
      <c r="H207" s="144"/>
      <c r="N207" s="196"/>
      <c r="O207" s="144"/>
      <c r="P207" s="144"/>
      <c r="Q207" s="144"/>
      <c r="R207" s="144"/>
      <c r="S207" s="144"/>
      <c r="T207" s="179">
        <v>0.77</v>
      </c>
      <c r="U207" s="144"/>
      <c r="V207" s="144"/>
      <c r="W207" s="144"/>
      <c r="X207" s="144"/>
      <c r="Y207" s="144"/>
      <c r="Z207" s="144"/>
      <c r="AB207" s="144"/>
      <c r="AC207" s="146"/>
      <c r="AD207" s="144"/>
      <c r="AE207" s="144"/>
      <c r="AF207" s="144"/>
      <c r="AG207" s="144"/>
      <c r="AH207" s="144"/>
      <c r="AI207" s="144"/>
      <c r="AJ207" s="144"/>
      <c r="AK207" s="144"/>
      <c r="AL207" s="144"/>
      <c r="AM207" s="144"/>
      <c r="AN207" s="147"/>
    </row>
    <row r="208" spans="1:40" s="149" customFormat="1" x14ac:dyDescent="0.2">
      <c r="A208" s="117"/>
      <c r="B208" s="117"/>
      <c r="C208" s="117"/>
      <c r="D208" s="117"/>
      <c r="E208" s="117"/>
      <c r="F208" s="117"/>
      <c r="G208" s="187"/>
      <c r="H208" s="144"/>
      <c r="N208" s="196"/>
      <c r="O208" s="144"/>
      <c r="P208" s="144"/>
      <c r="Q208" s="144"/>
      <c r="R208" s="144"/>
      <c r="S208" s="144"/>
      <c r="T208" s="179">
        <v>0.78</v>
      </c>
      <c r="U208" s="144"/>
      <c r="V208" s="144"/>
      <c r="W208" s="144"/>
      <c r="X208" s="144"/>
      <c r="Y208" s="144"/>
      <c r="Z208" s="144"/>
      <c r="AB208" s="144"/>
      <c r="AC208" s="146"/>
      <c r="AD208" s="144"/>
      <c r="AE208" s="144"/>
      <c r="AF208" s="144"/>
      <c r="AG208" s="144"/>
      <c r="AH208" s="144"/>
      <c r="AI208" s="144"/>
      <c r="AJ208" s="144"/>
      <c r="AK208" s="144"/>
      <c r="AL208" s="144"/>
      <c r="AM208" s="144"/>
      <c r="AN208" s="147"/>
    </row>
    <row r="209" spans="1:40" s="149" customFormat="1" x14ac:dyDescent="0.2">
      <c r="A209" s="117"/>
      <c r="B209" s="117"/>
      <c r="C209" s="117"/>
      <c r="D209" s="117"/>
      <c r="E209" s="117"/>
      <c r="F209" s="117"/>
      <c r="G209" s="187"/>
      <c r="H209" s="144"/>
      <c r="N209" s="146"/>
      <c r="O209" s="144"/>
      <c r="P209" s="144"/>
      <c r="Q209" s="144"/>
      <c r="R209" s="144"/>
      <c r="S209" s="144"/>
      <c r="T209" s="179">
        <v>0.79</v>
      </c>
      <c r="U209" s="144"/>
      <c r="V209" s="144"/>
      <c r="W209" s="144"/>
      <c r="X209" s="144"/>
      <c r="Y209" s="144"/>
      <c r="Z209" s="144"/>
      <c r="AB209" s="144"/>
      <c r="AC209" s="146"/>
      <c r="AD209" s="144"/>
      <c r="AE209" s="144"/>
      <c r="AF209" s="144"/>
      <c r="AG209" s="144"/>
      <c r="AH209" s="144"/>
      <c r="AI209" s="144"/>
      <c r="AJ209" s="144"/>
      <c r="AK209" s="144"/>
      <c r="AL209" s="144"/>
      <c r="AM209" s="144"/>
      <c r="AN209" s="147"/>
    </row>
    <row r="210" spans="1:40" s="149" customFormat="1" x14ac:dyDescent="0.2">
      <c r="A210" s="117"/>
      <c r="B210" s="117"/>
      <c r="C210" s="117"/>
      <c r="D210" s="117"/>
      <c r="E210" s="117"/>
      <c r="F210" s="117"/>
      <c r="G210" s="187"/>
      <c r="H210" s="144"/>
      <c r="N210" s="146"/>
      <c r="O210" s="144"/>
      <c r="P210" s="144"/>
      <c r="Q210" s="144"/>
      <c r="R210" s="144"/>
      <c r="S210" s="144"/>
      <c r="T210" s="179">
        <v>0.8</v>
      </c>
      <c r="U210" s="144"/>
      <c r="V210" s="144"/>
      <c r="W210" s="144"/>
      <c r="X210" s="144"/>
      <c r="Y210" s="144"/>
      <c r="Z210" s="144"/>
      <c r="AB210" s="144"/>
      <c r="AC210" s="146"/>
      <c r="AD210" s="144"/>
      <c r="AE210" s="144"/>
      <c r="AF210" s="144"/>
      <c r="AG210" s="144"/>
      <c r="AH210" s="144"/>
      <c r="AI210" s="144"/>
      <c r="AJ210" s="144"/>
      <c r="AK210" s="144"/>
      <c r="AL210" s="144"/>
      <c r="AM210" s="144"/>
      <c r="AN210" s="147"/>
    </row>
    <row r="211" spans="1:40" s="149" customFormat="1" x14ac:dyDescent="0.2">
      <c r="A211" s="117"/>
      <c r="B211" s="117"/>
      <c r="C211" s="117"/>
      <c r="D211" s="117"/>
      <c r="E211" s="117"/>
      <c r="F211" s="117"/>
      <c r="G211" s="187"/>
      <c r="H211" s="144"/>
      <c r="N211" s="146"/>
      <c r="O211" s="144"/>
      <c r="P211" s="144"/>
      <c r="Q211" s="144"/>
      <c r="R211" s="144"/>
      <c r="S211" s="144"/>
      <c r="T211" s="179">
        <v>0.81</v>
      </c>
      <c r="U211" s="144"/>
      <c r="V211" s="144"/>
      <c r="W211" s="144"/>
      <c r="X211" s="144"/>
      <c r="Y211" s="144"/>
      <c r="Z211" s="144"/>
      <c r="AB211" s="144"/>
      <c r="AC211" s="146"/>
      <c r="AD211" s="144"/>
      <c r="AE211" s="144"/>
      <c r="AF211" s="144"/>
      <c r="AG211" s="144"/>
      <c r="AH211" s="144"/>
      <c r="AI211" s="144"/>
      <c r="AJ211" s="144"/>
      <c r="AK211" s="144"/>
      <c r="AL211" s="144"/>
      <c r="AM211" s="144"/>
      <c r="AN211" s="147"/>
    </row>
    <row r="212" spans="1:40" s="149" customFormat="1" x14ac:dyDescent="0.2">
      <c r="A212" s="117"/>
      <c r="B212" s="117"/>
      <c r="C212" s="117"/>
      <c r="D212" s="117"/>
      <c r="E212" s="117"/>
      <c r="F212" s="117"/>
      <c r="G212" s="187"/>
      <c r="H212" s="144"/>
      <c r="N212" s="146"/>
      <c r="O212" s="144"/>
      <c r="P212" s="144"/>
      <c r="Q212" s="144"/>
      <c r="R212" s="144"/>
      <c r="S212" s="144"/>
      <c r="T212" s="179">
        <v>0.82</v>
      </c>
      <c r="U212" s="144"/>
      <c r="V212" s="144"/>
      <c r="W212" s="144"/>
      <c r="X212" s="144"/>
      <c r="Y212" s="144"/>
      <c r="Z212" s="144"/>
      <c r="AB212" s="144"/>
      <c r="AC212" s="146"/>
      <c r="AD212" s="144"/>
      <c r="AE212" s="144"/>
      <c r="AF212" s="144"/>
      <c r="AG212" s="144"/>
      <c r="AH212" s="144"/>
      <c r="AI212" s="144"/>
      <c r="AJ212" s="144"/>
      <c r="AK212" s="144"/>
      <c r="AL212" s="144"/>
      <c r="AM212" s="144"/>
      <c r="AN212" s="147"/>
    </row>
    <row r="213" spans="1:40" s="149" customFormat="1" x14ac:dyDescent="0.2">
      <c r="A213" s="117"/>
      <c r="B213" s="117"/>
      <c r="C213" s="117"/>
      <c r="D213" s="117"/>
      <c r="E213" s="117"/>
      <c r="F213" s="117"/>
      <c r="G213" s="187"/>
      <c r="H213" s="144"/>
      <c r="N213" s="146"/>
      <c r="O213" s="144"/>
      <c r="P213" s="144"/>
      <c r="Q213" s="144"/>
      <c r="R213" s="144"/>
      <c r="S213" s="144"/>
      <c r="T213" s="179">
        <v>0.83</v>
      </c>
      <c r="U213" s="144"/>
      <c r="V213" s="144"/>
      <c r="W213" s="144"/>
      <c r="X213" s="144"/>
      <c r="Y213" s="144"/>
      <c r="Z213" s="144"/>
      <c r="AB213" s="144"/>
      <c r="AC213" s="146"/>
      <c r="AD213" s="144"/>
      <c r="AE213" s="144"/>
      <c r="AF213" s="144"/>
      <c r="AG213" s="144"/>
      <c r="AH213" s="144"/>
      <c r="AI213" s="144"/>
      <c r="AJ213" s="144"/>
      <c r="AK213" s="144"/>
      <c r="AL213" s="144"/>
      <c r="AM213" s="144"/>
      <c r="AN213" s="147"/>
    </row>
    <row r="214" spans="1:40" s="149" customFormat="1" x14ac:dyDescent="0.2">
      <c r="A214" s="117"/>
      <c r="B214" s="117"/>
      <c r="C214" s="117"/>
      <c r="D214" s="117"/>
      <c r="E214" s="117"/>
      <c r="F214" s="117"/>
      <c r="G214" s="187"/>
      <c r="H214" s="144"/>
      <c r="N214" s="146"/>
      <c r="O214" s="144"/>
      <c r="P214" s="144"/>
      <c r="Q214" s="144"/>
      <c r="R214" s="144"/>
      <c r="S214" s="144"/>
      <c r="T214" s="179">
        <v>0.84</v>
      </c>
      <c r="U214" s="144"/>
      <c r="V214" s="144"/>
      <c r="W214" s="144"/>
      <c r="X214" s="144"/>
      <c r="Y214" s="144"/>
      <c r="Z214" s="144"/>
      <c r="AB214" s="144"/>
      <c r="AC214" s="146"/>
      <c r="AD214" s="144"/>
      <c r="AE214" s="144"/>
      <c r="AF214" s="144"/>
      <c r="AG214" s="144"/>
      <c r="AH214" s="144"/>
      <c r="AI214" s="144"/>
      <c r="AJ214" s="144"/>
      <c r="AK214" s="144"/>
      <c r="AL214" s="144"/>
      <c r="AM214" s="144"/>
      <c r="AN214" s="147"/>
    </row>
    <row r="215" spans="1:40" s="149" customFormat="1" x14ac:dyDescent="0.2">
      <c r="A215" s="117"/>
      <c r="B215" s="117"/>
      <c r="C215" s="117"/>
      <c r="D215" s="117"/>
      <c r="E215" s="117"/>
      <c r="F215" s="117"/>
      <c r="G215" s="187"/>
      <c r="H215" s="144"/>
      <c r="N215" s="146"/>
      <c r="O215" s="144"/>
      <c r="P215" s="144"/>
      <c r="Q215" s="144"/>
      <c r="R215" s="144"/>
      <c r="S215" s="144"/>
      <c r="T215" s="179">
        <v>0.85</v>
      </c>
      <c r="U215" s="144"/>
      <c r="V215" s="144"/>
      <c r="W215" s="144"/>
      <c r="X215" s="144"/>
      <c r="Y215" s="144"/>
      <c r="Z215" s="144"/>
      <c r="AB215" s="144"/>
      <c r="AC215" s="146"/>
      <c r="AD215" s="144"/>
      <c r="AE215" s="144"/>
      <c r="AF215" s="144"/>
      <c r="AG215" s="144"/>
      <c r="AH215" s="144"/>
      <c r="AI215" s="144"/>
      <c r="AJ215" s="144"/>
      <c r="AK215" s="144"/>
      <c r="AL215" s="144"/>
      <c r="AM215" s="144"/>
      <c r="AN215" s="147"/>
    </row>
    <row r="216" spans="1:40" s="149" customFormat="1" x14ac:dyDescent="0.2">
      <c r="A216" s="117"/>
      <c r="B216" s="117"/>
      <c r="C216" s="117"/>
      <c r="D216" s="117"/>
      <c r="E216" s="117"/>
      <c r="F216" s="117"/>
      <c r="G216" s="187"/>
      <c r="H216" s="144"/>
      <c r="N216" s="146"/>
      <c r="O216" s="144"/>
      <c r="P216" s="144"/>
      <c r="Q216" s="144"/>
      <c r="R216" s="144"/>
      <c r="S216" s="144"/>
      <c r="T216" s="179">
        <v>0.86</v>
      </c>
      <c r="U216" s="144"/>
      <c r="V216" s="144"/>
      <c r="W216" s="144"/>
      <c r="X216" s="144"/>
      <c r="Y216" s="144"/>
      <c r="Z216" s="144"/>
      <c r="AB216" s="144"/>
      <c r="AC216" s="146"/>
      <c r="AD216" s="144"/>
      <c r="AE216" s="144"/>
      <c r="AF216" s="144"/>
      <c r="AG216" s="144"/>
      <c r="AH216" s="144"/>
      <c r="AI216" s="144"/>
      <c r="AJ216" s="144"/>
      <c r="AK216" s="144"/>
      <c r="AL216" s="144"/>
      <c r="AM216" s="144"/>
      <c r="AN216" s="147"/>
    </row>
    <row r="217" spans="1:40" s="149" customFormat="1" x14ac:dyDescent="0.2">
      <c r="A217" s="117"/>
      <c r="B217" s="117"/>
      <c r="C217" s="117"/>
      <c r="D217" s="117"/>
      <c r="E217" s="117"/>
      <c r="F217" s="117"/>
      <c r="G217" s="187"/>
      <c r="H217" s="144"/>
      <c r="N217" s="146"/>
      <c r="O217" s="144"/>
      <c r="P217" s="144"/>
      <c r="Q217" s="144"/>
      <c r="R217" s="144"/>
      <c r="S217" s="144"/>
      <c r="T217" s="179">
        <v>0.87</v>
      </c>
      <c r="U217" s="144"/>
      <c r="V217" s="144"/>
      <c r="W217" s="144"/>
      <c r="X217" s="144"/>
      <c r="Y217" s="144"/>
      <c r="Z217" s="144"/>
      <c r="AB217" s="144"/>
      <c r="AC217" s="146"/>
      <c r="AD217" s="144"/>
      <c r="AE217" s="144"/>
      <c r="AF217" s="144"/>
      <c r="AG217" s="144"/>
      <c r="AH217" s="144"/>
      <c r="AI217" s="144"/>
      <c r="AJ217" s="144"/>
      <c r="AK217" s="144"/>
      <c r="AL217" s="144"/>
      <c r="AM217" s="144"/>
      <c r="AN217" s="147"/>
    </row>
    <row r="218" spans="1:40" s="149" customFormat="1" x14ac:dyDescent="0.2">
      <c r="A218" s="117"/>
      <c r="B218" s="117"/>
      <c r="C218" s="117"/>
      <c r="D218" s="117"/>
      <c r="E218" s="117"/>
      <c r="F218" s="117"/>
      <c r="G218" s="187"/>
      <c r="H218" s="144"/>
      <c r="N218" s="146"/>
      <c r="O218" s="144"/>
      <c r="P218" s="144"/>
      <c r="Q218" s="144"/>
      <c r="R218" s="144"/>
      <c r="S218" s="144"/>
      <c r="T218" s="179">
        <v>0.88</v>
      </c>
      <c r="U218" s="144"/>
      <c r="V218" s="144"/>
      <c r="W218" s="144"/>
      <c r="X218" s="144"/>
      <c r="Y218" s="144"/>
      <c r="Z218" s="144"/>
      <c r="AB218" s="144"/>
      <c r="AC218" s="146"/>
      <c r="AD218" s="144"/>
      <c r="AE218" s="144"/>
      <c r="AF218" s="144"/>
      <c r="AG218" s="144"/>
      <c r="AH218" s="144"/>
      <c r="AI218" s="144"/>
      <c r="AJ218" s="144"/>
      <c r="AK218" s="144"/>
      <c r="AL218" s="144"/>
      <c r="AM218" s="144"/>
      <c r="AN218" s="147"/>
    </row>
    <row r="219" spans="1:40" s="149" customFormat="1" x14ac:dyDescent="0.2">
      <c r="A219" s="117"/>
      <c r="B219" s="117"/>
      <c r="C219" s="117"/>
      <c r="D219" s="117"/>
      <c r="E219" s="117"/>
      <c r="F219" s="117"/>
      <c r="G219" s="187"/>
      <c r="H219" s="144"/>
      <c r="N219" s="146"/>
      <c r="O219" s="144"/>
      <c r="P219" s="144"/>
      <c r="Q219" s="144"/>
      <c r="R219" s="144"/>
      <c r="S219" s="144"/>
      <c r="T219" s="179">
        <v>0.89</v>
      </c>
      <c r="U219" s="144"/>
      <c r="V219" s="144"/>
      <c r="W219" s="144"/>
      <c r="X219" s="144"/>
      <c r="Y219" s="144"/>
      <c r="Z219" s="144"/>
      <c r="AB219" s="144"/>
      <c r="AC219" s="146"/>
      <c r="AD219" s="144"/>
      <c r="AE219" s="144"/>
      <c r="AF219" s="144"/>
      <c r="AG219" s="144"/>
      <c r="AH219" s="144"/>
      <c r="AI219" s="144"/>
      <c r="AJ219" s="144"/>
      <c r="AK219" s="144"/>
      <c r="AL219" s="144"/>
      <c r="AM219" s="144"/>
      <c r="AN219" s="147"/>
    </row>
    <row r="220" spans="1:40" s="149" customFormat="1" x14ac:dyDescent="0.2">
      <c r="A220" s="117"/>
      <c r="B220" s="117"/>
      <c r="C220" s="117"/>
      <c r="D220" s="117"/>
      <c r="E220" s="117"/>
      <c r="F220" s="117"/>
      <c r="G220" s="187"/>
      <c r="H220" s="144"/>
      <c r="N220" s="146"/>
      <c r="O220" s="144"/>
      <c r="P220" s="144"/>
      <c r="Q220" s="144"/>
      <c r="R220" s="144"/>
      <c r="S220" s="144"/>
      <c r="T220" s="179">
        <v>0.9</v>
      </c>
      <c r="U220" s="144"/>
      <c r="V220" s="144"/>
      <c r="W220" s="144"/>
      <c r="X220" s="144"/>
      <c r="Y220" s="144"/>
      <c r="Z220" s="144"/>
      <c r="AB220" s="144"/>
      <c r="AC220" s="146"/>
      <c r="AD220" s="144"/>
      <c r="AE220" s="144"/>
      <c r="AF220" s="144"/>
      <c r="AG220" s="144"/>
      <c r="AH220" s="144"/>
      <c r="AI220" s="144"/>
      <c r="AJ220" s="144"/>
      <c r="AK220" s="144"/>
      <c r="AL220" s="144"/>
      <c r="AM220" s="144"/>
      <c r="AN220" s="147"/>
    </row>
    <row r="221" spans="1:40" s="149" customFormat="1" x14ac:dyDescent="0.2">
      <c r="A221" s="117"/>
      <c r="B221" s="117"/>
      <c r="C221" s="117"/>
      <c r="D221" s="117"/>
      <c r="E221" s="117"/>
      <c r="F221" s="117"/>
      <c r="G221" s="187"/>
      <c r="H221" s="144"/>
      <c r="N221" s="146"/>
      <c r="O221" s="144"/>
      <c r="P221" s="144"/>
      <c r="Q221" s="144"/>
      <c r="R221" s="144"/>
      <c r="S221" s="144"/>
      <c r="T221" s="179">
        <v>0.91</v>
      </c>
      <c r="U221" s="144"/>
      <c r="V221" s="144"/>
      <c r="W221" s="144"/>
      <c r="X221" s="144"/>
      <c r="Y221" s="144"/>
      <c r="Z221" s="144"/>
      <c r="AB221" s="144"/>
      <c r="AC221" s="146"/>
      <c r="AD221" s="144"/>
      <c r="AE221" s="144"/>
      <c r="AF221" s="144"/>
      <c r="AG221" s="144"/>
      <c r="AH221" s="144"/>
      <c r="AI221" s="144"/>
      <c r="AJ221" s="144"/>
      <c r="AK221" s="144"/>
      <c r="AL221" s="144"/>
      <c r="AM221" s="144"/>
      <c r="AN221" s="147"/>
    </row>
    <row r="222" spans="1:40" s="149" customFormat="1" x14ac:dyDescent="0.2">
      <c r="A222" s="117"/>
      <c r="B222" s="117"/>
      <c r="C222" s="117"/>
      <c r="D222" s="117"/>
      <c r="E222" s="117"/>
      <c r="F222" s="117"/>
      <c r="G222" s="187"/>
      <c r="H222" s="144"/>
      <c r="N222" s="146"/>
      <c r="O222" s="144"/>
      <c r="P222" s="144"/>
      <c r="Q222" s="144"/>
      <c r="R222" s="144"/>
      <c r="S222" s="144"/>
      <c r="T222" s="179">
        <v>0.92</v>
      </c>
      <c r="U222" s="144"/>
      <c r="V222" s="144"/>
      <c r="W222" s="144"/>
      <c r="X222" s="144"/>
      <c r="Y222" s="144"/>
      <c r="Z222" s="144"/>
      <c r="AB222" s="144"/>
      <c r="AC222" s="146"/>
      <c r="AD222" s="144"/>
      <c r="AE222" s="144"/>
      <c r="AF222" s="144"/>
      <c r="AG222" s="144"/>
      <c r="AH222" s="144"/>
      <c r="AI222" s="144"/>
      <c r="AJ222" s="144"/>
      <c r="AK222" s="144"/>
      <c r="AL222" s="144"/>
      <c r="AM222" s="144"/>
      <c r="AN222" s="147"/>
    </row>
    <row r="223" spans="1:40" s="149" customFormat="1" x14ac:dyDescent="0.2">
      <c r="A223" s="117"/>
      <c r="B223" s="117"/>
      <c r="C223" s="117"/>
      <c r="D223" s="117"/>
      <c r="E223" s="117"/>
      <c r="F223" s="117"/>
      <c r="G223" s="187"/>
      <c r="H223" s="144"/>
      <c r="N223" s="146"/>
      <c r="O223" s="144"/>
      <c r="P223" s="144"/>
      <c r="Q223" s="144"/>
      <c r="R223" s="144"/>
      <c r="S223" s="144"/>
      <c r="T223" s="179">
        <v>0.93</v>
      </c>
      <c r="U223" s="144"/>
      <c r="V223" s="144"/>
      <c r="W223" s="144"/>
      <c r="X223" s="144"/>
      <c r="Y223" s="144"/>
      <c r="Z223" s="144"/>
      <c r="AB223" s="144"/>
      <c r="AC223" s="146"/>
      <c r="AD223" s="144"/>
      <c r="AE223" s="144"/>
      <c r="AF223" s="144"/>
      <c r="AG223" s="144"/>
      <c r="AH223" s="144"/>
      <c r="AI223" s="144"/>
      <c r="AJ223" s="144"/>
      <c r="AK223" s="144"/>
      <c r="AL223" s="144"/>
      <c r="AM223" s="144"/>
      <c r="AN223" s="147"/>
    </row>
    <row r="224" spans="1:40" s="149" customFormat="1" x14ac:dyDescent="0.2">
      <c r="A224" s="117"/>
      <c r="B224" s="117"/>
      <c r="C224" s="117"/>
      <c r="D224" s="117"/>
      <c r="E224" s="117"/>
      <c r="F224" s="117"/>
      <c r="G224" s="187"/>
      <c r="H224" s="144"/>
      <c r="N224" s="146"/>
      <c r="O224" s="144"/>
      <c r="P224" s="144"/>
      <c r="Q224" s="144"/>
      <c r="R224" s="144"/>
      <c r="S224" s="144"/>
      <c r="T224" s="179">
        <v>0.94</v>
      </c>
      <c r="U224" s="144"/>
      <c r="V224" s="144"/>
      <c r="W224" s="144"/>
      <c r="X224" s="144"/>
      <c r="Y224" s="144"/>
      <c r="Z224" s="144"/>
      <c r="AB224" s="144"/>
      <c r="AC224" s="146"/>
      <c r="AD224" s="144"/>
      <c r="AE224" s="144"/>
      <c r="AF224" s="144"/>
      <c r="AG224" s="144"/>
      <c r="AH224" s="144"/>
      <c r="AI224" s="144"/>
      <c r="AJ224" s="144"/>
      <c r="AK224" s="144"/>
      <c r="AL224" s="144"/>
      <c r="AM224" s="144"/>
      <c r="AN224" s="147"/>
    </row>
    <row r="225" spans="1:40" s="149" customFormat="1" x14ac:dyDescent="0.2">
      <c r="A225" s="117"/>
      <c r="B225" s="117"/>
      <c r="C225" s="117"/>
      <c r="D225" s="117"/>
      <c r="E225" s="117"/>
      <c r="F225" s="117"/>
      <c r="G225" s="187"/>
      <c r="H225" s="144"/>
      <c r="N225" s="146"/>
      <c r="O225" s="144"/>
      <c r="P225" s="144"/>
      <c r="Q225" s="144"/>
      <c r="R225" s="144"/>
      <c r="S225" s="144"/>
      <c r="T225" s="179">
        <v>0.95</v>
      </c>
      <c r="U225" s="144"/>
      <c r="V225" s="144"/>
      <c r="W225" s="144"/>
      <c r="X225" s="144"/>
      <c r="Y225" s="144"/>
      <c r="Z225" s="144"/>
      <c r="AB225" s="144"/>
      <c r="AC225" s="146"/>
      <c r="AD225" s="144"/>
      <c r="AE225" s="144"/>
      <c r="AF225" s="144"/>
      <c r="AG225" s="144"/>
      <c r="AH225" s="144"/>
      <c r="AI225" s="144"/>
      <c r="AJ225" s="144"/>
      <c r="AK225" s="144"/>
      <c r="AL225" s="144"/>
      <c r="AM225" s="144"/>
      <c r="AN225" s="147"/>
    </row>
    <row r="226" spans="1:40" s="149" customFormat="1" x14ac:dyDescent="0.2">
      <c r="A226" s="117"/>
      <c r="B226" s="117"/>
      <c r="C226" s="117"/>
      <c r="D226" s="117"/>
      <c r="E226" s="117"/>
      <c r="F226" s="117"/>
      <c r="G226" s="187"/>
      <c r="H226" s="144"/>
      <c r="N226" s="146"/>
      <c r="O226" s="144"/>
      <c r="P226" s="144"/>
      <c r="Q226" s="144"/>
      <c r="R226" s="144"/>
      <c r="S226" s="144"/>
      <c r="T226" s="179">
        <v>0.96</v>
      </c>
      <c r="U226" s="144"/>
      <c r="V226" s="144"/>
      <c r="W226" s="144"/>
      <c r="X226" s="144"/>
      <c r="Y226" s="144"/>
      <c r="Z226" s="144"/>
      <c r="AB226" s="144"/>
      <c r="AC226" s="146"/>
      <c r="AD226" s="144"/>
      <c r="AE226" s="144"/>
      <c r="AF226" s="144"/>
      <c r="AG226" s="144"/>
      <c r="AH226" s="144"/>
      <c r="AI226" s="144"/>
      <c r="AJ226" s="144"/>
      <c r="AK226" s="144"/>
      <c r="AL226" s="144"/>
      <c r="AM226" s="144"/>
      <c r="AN226" s="147"/>
    </row>
    <row r="227" spans="1:40" s="149" customFormat="1" x14ac:dyDescent="0.2">
      <c r="A227" s="117"/>
      <c r="B227" s="117"/>
      <c r="C227" s="117"/>
      <c r="D227" s="117"/>
      <c r="E227" s="117"/>
      <c r="F227" s="117"/>
      <c r="G227" s="187"/>
      <c r="H227" s="144"/>
      <c r="N227" s="146"/>
      <c r="O227" s="144"/>
      <c r="P227" s="144"/>
      <c r="Q227" s="144"/>
      <c r="R227" s="144"/>
      <c r="S227" s="144"/>
      <c r="T227" s="179">
        <v>0.97</v>
      </c>
      <c r="U227" s="144"/>
      <c r="V227" s="144"/>
      <c r="W227" s="144"/>
      <c r="X227" s="144"/>
      <c r="Y227" s="144"/>
      <c r="Z227" s="144"/>
      <c r="AB227" s="144"/>
      <c r="AC227" s="146"/>
      <c r="AD227" s="144"/>
      <c r="AE227" s="144"/>
      <c r="AF227" s="144"/>
      <c r="AG227" s="144"/>
      <c r="AH227" s="144"/>
      <c r="AI227" s="144"/>
      <c r="AJ227" s="144"/>
      <c r="AK227" s="144"/>
      <c r="AL227" s="144"/>
      <c r="AM227" s="144"/>
      <c r="AN227" s="147"/>
    </row>
    <row r="228" spans="1:40" s="149" customFormat="1" x14ac:dyDescent="0.2">
      <c r="A228" s="117"/>
      <c r="B228" s="117"/>
      <c r="C228" s="117"/>
      <c r="D228" s="117"/>
      <c r="E228" s="117"/>
      <c r="F228" s="117"/>
      <c r="G228" s="187"/>
      <c r="H228" s="144"/>
      <c r="N228" s="146"/>
      <c r="O228" s="144"/>
      <c r="P228" s="144"/>
      <c r="Q228" s="144"/>
      <c r="R228" s="144"/>
      <c r="S228" s="144"/>
      <c r="T228" s="179">
        <v>0.98</v>
      </c>
      <c r="U228" s="144"/>
      <c r="V228" s="144"/>
      <c r="W228" s="144"/>
      <c r="X228" s="144"/>
      <c r="Y228" s="144"/>
      <c r="Z228" s="144"/>
      <c r="AB228" s="144"/>
      <c r="AC228" s="146"/>
      <c r="AD228" s="144"/>
      <c r="AE228" s="144"/>
      <c r="AF228" s="144"/>
      <c r="AG228" s="144"/>
      <c r="AH228" s="144"/>
      <c r="AI228" s="144"/>
      <c r="AJ228" s="144"/>
      <c r="AK228" s="144"/>
      <c r="AL228" s="144"/>
      <c r="AM228" s="144"/>
      <c r="AN228" s="147"/>
    </row>
    <row r="229" spans="1:40" s="149" customFormat="1" x14ac:dyDescent="0.2">
      <c r="A229" s="117"/>
      <c r="B229" s="117"/>
      <c r="C229" s="117"/>
      <c r="D229" s="117"/>
      <c r="E229" s="117"/>
      <c r="F229" s="117"/>
      <c r="G229" s="187"/>
      <c r="H229" s="144"/>
      <c r="N229" s="146"/>
      <c r="O229" s="144"/>
      <c r="P229" s="144"/>
      <c r="Q229" s="144"/>
      <c r="R229" s="144"/>
      <c r="S229" s="144"/>
      <c r="T229" s="179">
        <v>0.99</v>
      </c>
      <c r="U229" s="144"/>
      <c r="V229" s="144"/>
      <c r="W229" s="144"/>
      <c r="X229" s="144"/>
      <c r="Y229" s="144"/>
      <c r="Z229" s="144"/>
      <c r="AB229" s="144"/>
      <c r="AC229" s="146"/>
      <c r="AD229" s="144"/>
      <c r="AE229" s="144"/>
      <c r="AF229" s="144"/>
      <c r="AG229" s="144"/>
      <c r="AH229" s="144"/>
      <c r="AI229" s="144"/>
      <c r="AJ229" s="144"/>
      <c r="AK229" s="144"/>
      <c r="AL229" s="144"/>
      <c r="AM229" s="144"/>
      <c r="AN229" s="147"/>
    </row>
    <row r="230" spans="1:40" s="149" customFormat="1" x14ac:dyDescent="0.2">
      <c r="A230" s="117"/>
      <c r="B230" s="117"/>
      <c r="C230" s="117"/>
      <c r="D230" s="117"/>
      <c r="E230" s="117"/>
      <c r="F230" s="117"/>
      <c r="G230" s="187"/>
      <c r="H230" s="144"/>
      <c r="N230" s="146"/>
      <c r="O230" s="144"/>
      <c r="P230" s="144"/>
      <c r="Q230" s="144"/>
      <c r="R230" s="144"/>
      <c r="S230" s="144"/>
      <c r="T230" s="179">
        <v>1</v>
      </c>
      <c r="U230" s="144"/>
      <c r="V230" s="144"/>
      <c r="W230" s="144"/>
      <c r="X230" s="144"/>
      <c r="Y230" s="144"/>
      <c r="Z230" s="144"/>
      <c r="AB230" s="144"/>
      <c r="AC230" s="146"/>
      <c r="AD230" s="144"/>
      <c r="AE230" s="144"/>
      <c r="AF230" s="144"/>
      <c r="AG230" s="144"/>
      <c r="AH230" s="144"/>
      <c r="AI230" s="144"/>
      <c r="AJ230" s="144"/>
      <c r="AK230" s="144"/>
      <c r="AL230" s="144"/>
      <c r="AM230" s="144"/>
      <c r="AN230" s="147"/>
    </row>
    <row r="231" spans="1:40" s="149" customFormat="1" x14ac:dyDescent="0.2">
      <c r="A231" s="117"/>
      <c r="B231" s="117"/>
      <c r="C231" s="117"/>
      <c r="D231" s="117"/>
      <c r="E231" s="117"/>
      <c r="F231" s="117"/>
      <c r="G231" s="187"/>
      <c r="H231" s="144"/>
      <c r="N231" s="146"/>
      <c r="O231" s="144"/>
      <c r="P231" s="144"/>
      <c r="Q231" s="144"/>
      <c r="R231" s="144"/>
      <c r="S231" s="144"/>
      <c r="T231" s="144"/>
      <c r="U231" s="144"/>
      <c r="V231" s="144"/>
      <c r="W231" s="144"/>
      <c r="X231" s="144"/>
      <c r="Y231" s="144"/>
      <c r="Z231" s="144"/>
      <c r="AB231" s="144"/>
      <c r="AC231" s="146"/>
      <c r="AD231" s="144"/>
      <c r="AE231" s="144"/>
      <c r="AF231" s="144"/>
      <c r="AG231" s="144"/>
      <c r="AH231" s="144"/>
      <c r="AI231" s="144"/>
      <c r="AJ231" s="144"/>
      <c r="AK231" s="144"/>
      <c r="AL231" s="144"/>
      <c r="AM231" s="144"/>
      <c r="AN231" s="147"/>
    </row>
    <row r="232" spans="1:40" s="149" customFormat="1" x14ac:dyDescent="0.2">
      <c r="A232" s="117"/>
      <c r="B232" s="117"/>
      <c r="C232" s="117"/>
      <c r="D232" s="117"/>
      <c r="E232" s="117"/>
      <c r="F232" s="117"/>
      <c r="G232" s="187"/>
      <c r="H232" s="144"/>
      <c r="N232" s="146"/>
      <c r="O232" s="144"/>
      <c r="P232" s="144"/>
      <c r="Q232" s="144"/>
      <c r="R232" s="144"/>
      <c r="S232" s="144"/>
      <c r="T232" s="144"/>
      <c r="U232" s="144"/>
      <c r="V232" s="144"/>
      <c r="W232" s="144"/>
      <c r="X232" s="144"/>
      <c r="Y232" s="144"/>
      <c r="Z232" s="144"/>
      <c r="AB232" s="144"/>
      <c r="AC232" s="146"/>
      <c r="AD232" s="144"/>
      <c r="AE232" s="144"/>
      <c r="AF232" s="144"/>
      <c r="AG232" s="144"/>
      <c r="AH232" s="144"/>
      <c r="AI232" s="144"/>
      <c r="AJ232" s="144"/>
      <c r="AK232" s="144"/>
      <c r="AL232" s="144"/>
      <c r="AM232" s="144"/>
      <c r="AN232" s="147"/>
    </row>
    <row r="233" spans="1:40" s="149" customFormat="1" x14ac:dyDescent="0.2">
      <c r="A233" s="117"/>
      <c r="B233" s="117"/>
      <c r="C233" s="117"/>
      <c r="D233" s="117"/>
      <c r="E233" s="117"/>
      <c r="F233" s="117"/>
      <c r="G233" s="187"/>
      <c r="H233" s="144"/>
      <c r="N233" s="146"/>
      <c r="O233" s="144"/>
      <c r="P233" s="144"/>
      <c r="Q233" s="144"/>
      <c r="R233" s="144"/>
      <c r="S233" s="144"/>
      <c r="T233" s="144"/>
      <c r="U233" s="144"/>
      <c r="V233" s="144"/>
      <c r="W233" s="144"/>
      <c r="X233" s="144"/>
      <c r="Y233" s="144"/>
      <c r="Z233" s="144"/>
      <c r="AB233" s="144"/>
      <c r="AC233" s="146"/>
      <c r="AD233" s="144"/>
      <c r="AE233" s="144"/>
      <c r="AF233" s="144"/>
      <c r="AG233" s="144"/>
      <c r="AH233" s="144"/>
      <c r="AI233" s="144"/>
      <c r="AJ233" s="144"/>
      <c r="AK233" s="144"/>
      <c r="AL233" s="144"/>
      <c r="AM233" s="144"/>
      <c r="AN233" s="147"/>
    </row>
    <row r="234" spans="1:40" s="149" customFormat="1" x14ac:dyDescent="0.2">
      <c r="A234" s="117"/>
      <c r="B234" s="117"/>
      <c r="C234" s="117"/>
      <c r="D234" s="117"/>
      <c r="E234" s="117"/>
      <c r="F234" s="117"/>
      <c r="G234" s="187"/>
      <c r="H234" s="144"/>
      <c r="N234" s="146"/>
      <c r="O234" s="144"/>
      <c r="P234" s="144"/>
      <c r="Q234" s="144"/>
      <c r="R234" s="144"/>
      <c r="S234" s="144"/>
      <c r="T234" s="144"/>
      <c r="U234" s="144"/>
      <c r="V234" s="144"/>
      <c r="W234" s="144"/>
      <c r="X234" s="144"/>
      <c r="Y234" s="144"/>
      <c r="Z234" s="144"/>
      <c r="AB234" s="144"/>
      <c r="AC234" s="146"/>
      <c r="AD234" s="144"/>
      <c r="AE234" s="144"/>
      <c r="AF234" s="144"/>
      <c r="AG234" s="144"/>
      <c r="AH234" s="144"/>
      <c r="AI234" s="144"/>
      <c r="AJ234" s="144"/>
      <c r="AK234" s="144"/>
      <c r="AL234" s="144"/>
      <c r="AM234" s="144"/>
      <c r="AN234" s="147"/>
    </row>
    <row r="235" spans="1:40" s="149" customFormat="1" x14ac:dyDescent="0.2">
      <c r="A235" s="117"/>
      <c r="B235" s="117"/>
      <c r="C235" s="117"/>
      <c r="D235" s="117"/>
      <c r="E235" s="117"/>
      <c r="F235" s="117"/>
      <c r="G235" s="187"/>
      <c r="H235" s="144"/>
      <c r="N235" s="146"/>
      <c r="O235" s="144"/>
      <c r="P235" s="144"/>
      <c r="Q235" s="144"/>
      <c r="R235" s="144"/>
      <c r="S235" s="144"/>
      <c r="T235" s="144"/>
      <c r="U235" s="144"/>
      <c r="V235" s="144"/>
      <c r="W235" s="144"/>
      <c r="X235" s="144"/>
      <c r="Y235" s="144"/>
      <c r="Z235" s="144"/>
      <c r="AB235" s="144"/>
      <c r="AC235" s="146"/>
      <c r="AD235" s="144"/>
      <c r="AE235" s="144"/>
      <c r="AF235" s="144"/>
      <c r="AG235" s="144"/>
      <c r="AH235" s="144"/>
      <c r="AI235" s="144"/>
      <c r="AJ235" s="144"/>
      <c r="AK235" s="144"/>
      <c r="AL235" s="144"/>
      <c r="AM235" s="144"/>
      <c r="AN235" s="147"/>
    </row>
    <row r="236" spans="1:40" s="149" customFormat="1" x14ac:dyDescent="0.2">
      <c r="A236" s="117"/>
      <c r="B236" s="117"/>
      <c r="C236" s="117"/>
      <c r="D236" s="117"/>
      <c r="E236" s="117"/>
      <c r="F236" s="117"/>
      <c r="G236" s="187"/>
      <c r="H236" s="144"/>
      <c r="N236" s="146"/>
      <c r="O236" s="144"/>
      <c r="P236" s="144"/>
      <c r="Q236" s="144"/>
      <c r="R236" s="144"/>
      <c r="S236" s="144"/>
      <c r="T236" s="144"/>
      <c r="U236" s="144"/>
      <c r="V236" s="144"/>
      <c r="W236" s="144"/>
      <c r="X236" s="144"/>
      <c r="Y236" s="144"/>
      <c r="Z236" s="144"/>
      <c r="AB236" s="144"/>
      <c r="AC236" s="146"/>
      <c r="AD236" s="144"/>
      <c r="AE236" s="144"/>
      <c r="AF236" s="144"/>
      <c r="AG236" s="144"/>
      <c r="AH236" s="144"/>
      <c r="AI236" s="144"/>
      <c r="AJ236" s="144"/>
      <c r="AK236" s="144"/>
      <c r="AL236" s="144"/>
      <c r="AM236" s="144"/>
      <c r="AN236" s="147"/>
    </row>
    <row r="237" spans="1:40" s="149" customFormat="1" x14ac:dyDescent="0.2">
      <c r="A237" s="117"/>
      <c r="B237" s="117"/>
      <c r="C237" s="117"/>
      <c r="D237" s="117"/>
      <c r="E237" s="117"/>
      <c r="F237" s="117"/>
      <c r="G237" s="187"/>
      <c r="H237" s="144"/>
      <c r="N237" s="146"/>
      <c r="O237" s="144"/>
      <c r="P237" s="144"/>
      <c r="Q237" s="144"/>
      <c r="R237" s="144"/>
      <c r="S237" s="144"/>
      <c r="T237" s="144"/>
      <c r="U237" s="144"/>
      <c r="V237" s="144"/>
      <c r="W237" s="144"/>
      <c r="X237" s="144"/>
      <c r="Y237" s="144"/>
      <c r="Z237" s="144"/>
      <c r="AB237" s="144"/>
      <c r="AC237" s="146"/>
      <c r="AD237" s="144"/>
      <c r="AE237" s="144"/>
      <c r="AF237" s="144"/>
      <c r="AG237" s="144"/>
      <c r="AH237" s="144"/>
      <c r="AI237" s="144"/>
      <c r="AJ237" s="144"/>
      <c r="AK237" s="144"/>
      <c r="AL237" s="144"/>
      <c r="AM237" s="144"/>
      <c r="AN237" s="147"/>
    </row>
    <row r="238" spans="1:40" s="149" customFormat="1" x14ac:dyDescent="0.2">
      <c r="A238" s="117"/>
      <c r="B238" s="117"/>
      <c r="C238" s="117"/>
      <c r="D238" s="117"/>
      <c r="E238" s="117"/>
      <c r="F238" s="117"/>
      <c r="G238" s="187"/>
      <c r="H238" s="144"/>
      <c r="N238" s="146"/>
      <c r="O238" s="144"/>
      <c r="P238" s="144"/>
      <c r="Q238" s="144"/>
      <c r="R238" s="144"/>
      <c r="S238" s="144"/>
      <c r="T238" s="144"/>
      <c r="U238" s="144"/>
      <c r="V238" s="144"/>
      <c r="W238" s="144"/>
      <c r="X238" s="144"/>
      <c r="Y238" s="144"/>
      <c r="Z238" s="144"/>
      <c r="AB238" s="144"/>
      <c r="AC238" s="146"/>
      <c r="AD238" s="144"/>
      <c r="AE238" s="144"/>
      <c r="AF238" s="144"/>
      <c r="AG238" s="144"/>
      <c r="AH238" s="144"/>
      <c r="AI238" s="144"/>
      <c r="AJ238" s="144"/>
      <c r="AK238" s="144"/>
      <c r="AL238" s="144"/>
      <c r="AM238" s="144"/>
      <c r="AN238" s="147"/>
    </row>
    <row r="239" spans="1:40" s="149" customFormat="1" x14ac:dyDescent="0.2">
      <c r="A239" s="117"/>
      <c r="B239" s="117"/>
      <c r="C239" s="117"/>
      <c r="D239" s="117"/>
      <c r="E239" s="117"/>
      <c r="F239" s="117"/>
      <c r="G239" s="187"/>
      <c r="H239" s="144"/>
      <c r="N239" s="146"/>
      <c r="O239" s="144"/>
      <c r="P239" s="144"/>
      <c r="Q239" s="144"/>
      <c r="R239" s="144"/>
      <c r="S239" s="144"/>
      <c r="T239" s="144"/>
      <c r="U239" s="144"/>
      <c r="V239" s="144"/>
      <c r="W239" s="144"/>
      <c r="X239" s="144"/>
      <c r="Y239" s="144"/>
      <c r="Z239" s="144"/>
      <c r="AB239" s="144"/>
      <c r="AC239" s="146"/>
      <c r="AD239" s="144"/>
      <c r="AE239" s="144"/>
      <c r="AF239" s="144"/>
      <c r="AG239" s="144"/>
      <c r="AH239" s="144"/>
      <c r="AI239" s="144"/>
      <c r="AJ239" s="144"/>
      <c r="AK239" s="144"/>
      <c r="AL239" s="144"/>
      <c r="AM239" s="144"/>
      <c r="AN239" s="147"/>
    </row>
    <row r="240" spans="1:40" s="149" customFormat="1" x14ac:dyDescent="0.2">
      <c r="A240" s="117"/>
      <c r="B240" s="117"/>
      <c r="C240" s="117"/>
      <c r="D240" s="117"/>
      <c r="E240" s="117"/>
      <c r="F240" s="117"/>
      <c r="G240" s="187"/>
      <c r="H240" s="144"/>
      <c r="N240" s="146"/>
      <c r="O240" s="144"/>
      <c r="P240" s="144"/>
      <c r="Q240" s="144"/>
      <c r="R240" s="144"/>
      <c r="S240" s="144"/>
      <c r="T240" s="144"/>
      <c r="U240" s="144"/>
      <c r="V240" s="144"/>
      <c r="W240" s="144"/>
      <c r="X240" s="144"/>
      <c r="Y240" s="144"/>
      <c r="Z240" s="144"/>
      <c r="AB240" s="144"/>
      <c r="AC240" s="146"/>
      <c r="AD240" s="144"/>
      <c r="AE240" s="144"/>
      <c r="AF240" s="144"/>
      <c r="AG240" s="144"/>
      <c r="AH240" s="144"/>
      <c r="AI240" s="144"/>
      <c r="AJ240" s="144"/>
      <c r="AK240" s="144"/>
      <c r="AL240" s="144"/>
      <c r="AM240" s="144"/>
      <c r="AN240" s="147"/>
    </row>
    <row r="241" spans="1:40" s="149" customFormat="1" x14ac:dyDescent="0.2">
      <c r="A241" s="117"/>
      <c r="B241" s="117"/>
      <c r="C241" s="117"/>
      <c r="D241" s="117"/>
      <c r="E241" s="117"/>
      <c r="F241" s="117"/>
      <c r="G241" s="187"/>
      <c r="H241" s="144"/>
      <c r="N241" s="146"/>
      <c r="O241" s="144"/>
      <c r="P241" s="144"/>
      <c r="Q241" s="144"/>
      <c r="R241" s="144"/>
      <c r="S241" s="144"/>
      <c r="T241" s="144"/>
      <c r="U241" s="144"/>
      <c r="V241" s="144"/>
      <c r="W241" s="144"/>
      <c r="X241" s="144"/>
      <c r="Z241" s="144"/>
      <c r="AB241" s="144"/>
      <c r="AC241" s="146"/>
      <c r="AD241" s="144"/>
      <c r="AE241" s="144"/>
      <c r="AF241" s="144"/>
      <c r="AG241" s="144"/>
      <c r="AH241" s="144"/>
      <c r="AI241" s="144"/>
      <c r="AJ241" s="144"/>
      <c r="AK241" s="144"/>
      <c r="AL241" s="144"/>
      <c r="AM241" s="144"/>
      <c r="AN241" s="147"/>
    </row>
    <row r="242" spans="1:40" s="149" customFormat="1" x14ac:dyDescent="0.2">
      <c r="A242" s="117"/>
      <c r="B242" s="117"/>
      <c r="C242" s="117"/>
      <c r="D242" s="117"/>
      <c r="E242" s="117"/>
      <c r="F242" s="117"/>
      <c r="G242" s="187"/>
      <c r="H242" s="144"/>
      <c r="N242" s="146"/>
      <c r="O242" s="144"/>
      <c r="P242" s="144"/>
      <c r="Q242" s="144"/>
      <c r="R242" s="144"/>
      <c r="S242" s="144"/>
      <c r="T242" s="144"/>
      <c r="U242" s="144"/>
      <c r="V242" s="144"/>
      <c r="W242" s="144"/>
      <c r="X242" s="144"/>
      <c r="Z242" s="144"/>
      <c r="AB242" s="144"/>
      <c r="AC242" s="146"/>
      <c r="AD242" s="144"/>
      <c r="AE242" s="144"/>
      <c r="AF242" s="144"/>
      <c r="AG242" s="144"/>
      <c r="AH242" s="144"/>
      <c r="AI242" s="144"/>
      <c r="AJ242" s="144"/>
      <c r="AK242" s="144"/>
      <c r="AL242" s="144"/>
      <c r="AM242" s="144"/>
      <c r="AN242" s="147"/>
    </row>
    <row r="243" spans="1:40" s="149" customFormat="1" x14ac:dyDescent="0.2">
      <c r="A243" s="117"/>
      <c r="B243" s="117"/>
      <c r="C243" s="117"/>
      <c r="D243" s="117"/>
      <c r="E243" s="117"/>
      <c r="F243" s="117"/>
      <c r="G243" s="187"/>
      <c r="H243" s="144"/>
      <c r="N243" s="146"/>
      <c r="O243" s="144"/>
      <c r="P243" s="144"/>
      <c r="Q243" s="144"/>
      <c r="R243" s="144"/>
      <c r="S243" s="144"/>
      <c r="T243" s="144"/>
      <c r="U243" s="144"/>
      <c r="V243" s="144"/>
      <c r="W243" s="144"/>
      <c r="X243" s="144"/>
      <c r="Z243" s="144"/>
      <c r="AB243" s="144"/>
      <c r="AC243" s="146"/>
      <c r="AD243" s="144"/>
      <c r="AE243" s="144"/>
      <c r="AF243" s="144"/>
      <c r="AG243" s="144"/>
      <c r="AH243" s="144"/>
      <c r="AI243" s="144"/>
      <c r="AJ243" s="144"/>
      <c r="AK243" s="144"/>
      <c r="AL243" s="144"/>
      <c r="AM243" s="144"/>
      <c r="AN243" s="147"/>
    </row>
    <row r="244" spans="1:40" s="149" customFormat="1" x14ac:dyDescent="0.2">
      <c r="A244" s="117"/>
      <c r="B244" s="117"/>
      <c r="C244" s="117"/>
      <c r="D244" s="117"/>
      <c r="E244" s="117"/>
      <c r="F244" s="117"/>
      <c r="G244" s="187"/>
      <c r="H244" s="144"/>
      <c r="N244" s="146"/>
      <c r="O244" s="144"/>
      <c r="P244" s="144"/>
      <c r="Q244" s="144"/>
      <c r="R244" s="144"/>
      <c r="S244" s="144"/>
      <c r="T244" s="144"/>
      <c r="U244" s="144"/>
      <c r="V244" s="144"/>
      <c r="W244" s="144"/>
      <c r="X244" s="144"/>
      <c r="Z244" s="144"/>
      <c r="AB244" s="144"/>
      <c r="AC244" s="146"/>
      <c r="AD244" s="144"/>
      <c r="AE244" s="144"/>
      <c r="AF244" s="144"/>
      <c r="AG244" s="144"/>
      <c r="AH244" s="144"/>
      <c r="AI244" s="144"/>
      <c r="AJ244" s="144"/>
      <c r="AK244" s="144"/>
      <c r="AL244" s="144"/>
      <c r="AM244" s="144"/>
      <c r="AN244" s="147"/>
    </row>
    <row r="245" spans="1:40" s="149" customFormat="1" x14ac:dyDescent="0.2">
      <c r="A245" s="117"/>
      <c r="B245" s="117"/>
      <c r="C245" s="117"/>
      <c r="D245" s="117"/>
      <c r="E245" s="117"/>
      <c r="F245" s="117"/>
      <c r="G245" s="187"/>
      <c r="H245" s="144"/>
      <c r="N245" s="146"/>
      <c r="O245" s="144"/>
      <c r="P245" s="144"/>
      <c r="Q245" s="144"/>
      <c r="R245" s="144"/>
      <c r="S245" s="144"/>
      <c r="T245" s="144"/>
      <c r="U245" s="144"/>
      <c r="V245" s="144"/>
      <c r="W245" s="144"/>
      <c r="X245" s="144"/>
      <c r="Z245" s="144"/>
      <c r="AB245" s="144"/>
      <c r="AC245" s="146"/>
      <c r="AD245" s="144"/>
      <c r="AE245" s="144"/>
      <c r="AF245" s="144"/>
      <c r="AG245" s="144"/>
      <c r="AH245" s="144"/>
      <c r="AI245" s="144"/>
      <c r="AJ245" s="144"/>
      <c r="AK245" s="144"/>
      <c r="AL245" s="144"/>
      <c r="AM245" s="144"/>
      <c r="AN245" s="147"/>
    </row>
    <row r="246" spans="1:40" s="149" customFormat="1" x14ac:dyDescent="0.2">
      <c r="A246" s="117"/>
      <c r="B246" s="117"/>
      <c r="C246" s="117"/>
      <c r="D246" s="117"/>
      <c r="E246" s="117"/>
      <c r="F246" s="117"/>
      <c r="G246" s="187"/>
      <c r="H246" s="144"/>
      <c r="N246" s="146"/>
      <c r="O246" s="144"/>
      <c r="P246" s="144"/>
      <c r="Q246" s="144"/>
      <c r="R246" s="144"/>
      <c r="S246" s="144"/>
      <c r="T246" s="144"/>
      <c r="U246" s="144"/>
      <c r="V246" s="144"/>
      <c r="W246" s="144"/>
      <c r="X246" s="144"/>
      <c r="Z246" s="144"/>
      <c r="AB246" s="144"/>
      <c r="AC246" s="146"/>
      <c r="AD246" s="144"/>
      <c r="AE246" s="144"/>
      <c r="AF246" s="144"/>
      <c r="AG246" s="144"/>
      <c r="AH246" s="144"/>
      <c r="AI246" s="144"/>
      <c r="AJ246" s="144"/>
      <c r="AK246" s="144"/>
      <c r="AL246" s="144"/>
      <c r="AM246" s="144"/>
      <c r="AN246" s="147"/>
    </row>
    <row r="247" spans="1:40" s="149" customFormat="1" x14ac:dyDescent="0.2">
      <c r="A247" s="117"/>
      <c r="B247" s="117"/>
      <c r="C247" s="117"/>
      <c r="D247" s="117"/>
      <c r="E247" s="117"/>
      <c r="F247" s="117"/>
      <c r="G247" s="187"/>
      <c r="H247" s="144"/>
      <c r="N247" s="146"/>
      <c r="O247" s="144"/>
      <c r="P247" s="144"/>
      <c r="Q247" s="144"/>
      <c r="R247" s="144"/>
      <c r="S247" s="144"/>
      <c r="T247" s="144"/>
      <c r="U247" s="144"/>
      <c r="V247" s="144"/>
      <c r="W247" s="144"/>
      <c r="X247" s="144"/>
      <c r="Z247" s="144"/>
      <c r="AB247" s="144"/>
      <c r="AC247" s="146"/>
      <c r="AD247" s="144"/>
      <c r="AE247" s="144"/>
      <c r="AF247" s="144"/>
      <c r="AG247" s="144"/>
      <c r="AH247" s="144"/>
      <c r="AI247" s="144"/>
      <c r="AJ247" s="144"/>
      <c r="AK247" s="144"/>
      <c r="AL247" s="144"/>
      <c r="AM247" s="144"/>
      <c r="AN247" s="147"/>
    </row>
    <row r="248" spans="1:40" s="149" customFormat="1" x14ac:dyDescent="0.2">
      <c r="A248" s="117"/>
      <c r="B248" s="117"/>
      <c r="C248" s="117"/>
      <c r="D248" s="117"/>
      <c r="E248" s="117"/>
      <c r="F248" s="117"/>
      <c r="G248" s="187"/>
      <c r="H248" s="144"/>
      <c r="N248" s="146"/>
      <c r="O248" s="144"/>
      <c r="P248" s="144"/>
      <c r="Q248" s="144"/>
      <c r="R248" s="144"/>
      <c r="S248" s="144"/>
      <c r="T248" s="144"/>
      <c r="U248" s="144"/>
      <c r="V248" s="144"/>
      <c r="W248" s="144"/>
      <c r="X248" s="144"/>
      <c r="Z248" s="144"/>
      <c r="AB248" s="144"/>
      <c r="AC248" s="146"/>
      <c r="AD248" s="144"/>
      <c r="AE248" s="144"/>
      <c r="AF248" s="144"/>
      <c r="AG248" s="144"/>
      <c r="AH248" s="144"/>
      <c r="AI248" s="144"/>
      <c r="AJ248" s="144"/>
      <c r="AK248" s="144"/>
      <c r="AL248" s="144"/>
      <c r="AM248" s="144"/>
      <c r="AN248" s="147"/>
    </row>
    <row r="249" spans="1:40" s="149" customFormat="1" x14ac:dyDescent="0.2">
      <c r="A249" s="117"/>
      <c r="B249" s="117"/>
      <c r="C249" s="117"/>
      <c r="D249" s="117"/>
      <c r="E249" s="117"/>
      <c r="F249" s="117"/>
      <c r="G249" s="187"/>
      <c r="H249" s="144"/>
      <c r="N249" s="146"/>
      <c r="O249" s="144"/>
      <c r="P249" s="144"/>
      <c r="Q249" s="144"/>
      <c r="R249" s="144"/>
      <c r="S249" s="144"/>
      <c r="T249" s="144"/>
      <c r="U249" s="144"/>
      <c r="V249" s="144"/>
      <c r="W249" s="144"/>
      <c r="X249" s="144"/>
      <c r="Z249" s="144"/>
      <c r="AB249" s="144"/>
      <c r="AC249" s="146"/>
      <c r="AD249" s="144"/>
      <c r="AE249" s="144"/>
      <c r="AF249" s="144"/>
      <c r="AG249" s="144"/>
      <c r="AH249" s="144"/>
      <c r="AI249" s="144"/>
      <c r="AJ249" s="144"/>
      <c r="AK249" s="144"/>
      <c r="AL249" s="144"/>
      <c r="AM249" s="144"/>
      <c r="AN249" s="147"/>
    </row>
    <row r="250" spans="1:40" s="149" customFormat="1" x14ac:dyDescent="0.2">
      <c r="A250" s="117"/>
      <c r="B250" s="117"/>
      <c r="C250" s="117"/>
      <c r="D250" s="117"/>
      <c r="E250" s="117"/>
      <c r="F250" s="117"/>
      <c r="G250" s="187"/>
      <c r="H250" s="144"/>
      <c r="N250" s="146"/>
      <c r="O250" s="144"/>
      <c r="P250" s="144"/>
      <c r="Q250" s="144"/>
      <c r="R250" s="144"/>
      <c r="S250" s="144"/>
      <c r="T250" s="144"/>
      <c r="U250" s="144"/>
      <c r="V250" s="144"/>
      <c r="W250" s="144"/>
      <c r="X250" s="144"/>
      <c r="Z250" s="144"/>
      <c r="AB250" s="144"/>
      <c r="AC250" s="146"/>
      <c r="AD250" s="144"/>
      <c r="AE250" s="144"/>
      <c r="AF250" s="144"/>
      <c r="AG250" s="144"/>
      <c r="AH250" s="144"/>
      <c r="AI250" s="144"/>
      <c r="AJ250" s="144"/>
      <c r="AK250" s="144"/>
      <c r="AL250" s="144"/>
      <c r="AM250" s="144"/>
      <c r="AN250" s="147"/>
    </row>
    <row r="251" spans="1:40" s="149" customFormat="1" x14ac:dyDescent="0.2">
      <c r="A251" s="117"/>
      <c r="B251" s="117"/>
      <c r="C251" s="117"/>
      <c r="D251" s="117"/>
      <c r="E251" s="117"/>
      <c r="F251" s="117"/>
      <c r="G251" s="187"/>
      <c r="H251" s="144"/>
      <c r="N251" s="146"/>
      <c r="O251" s="144"/>
      <c r="P251" s="144"/>
      <c r="Q251" s="144"/>
      <c r="R251" s="144"/>
      <c r="S251" s="144"/>
      <c r="T251" s="144"/>
      <c r="U251" s="144"/>
      <c r="V251" s="144"/>
      <c r="W251" s="144"/>
      <c r="X251" s="144"/>
      <c r="Z251" s="144"/>
      <c r="AB251" s="144"/>
      <c r="AC251" s="146"/>
      <c r="AD251" s="144"/>
      <c r="AE251" s="144"/>
      <c r="AF251" s="144"/>
      <c r="AG251" s="144"/>
      <c r="AH251" s="144"/>
      <c r="AI251" s="144"/>
      <c r="AJ251" s="144"/>
      <c r="AK251" s="144"/>
      <c r="AL251" s="144"/>
      <c r="AM251" s="144"/>
      <c r="AN251" s="147"/>
    </row>
    <row r="252" spans="1:40" s="149" customFormat="1" x14ac:dyDescent="0.2">
      <c r="A252" s="117"/>
      <c r="B252" s="117"/>
      <c r="C252" s="117"/>
      <c r="D252" s="117"/>
      <c r="E252" s="117"/>
      <c r="F252" s="117"/>
      <c r="G252" s="187"/>
      <c r="H252" s="144"/>
      <c r="N252" s="146"/>
      <c r="O252" s="144"/>
      <c r="P252" s="144"/>
      <c r="Q252" s="144"/>
      <c r="R252" s="144"/>
      <c r="S252" s="144"/>
      <c r="T252" s="144"/>
      <c r="U252" s="144"/>
      <c r="V252" s="144"/>
      <c r="W252" s="144"/>
      <c r="X252" s="144"/>
      <c r="Z252" s="144"/>
      <c r="AB252" s="144"/>
      <c r="AC252" s="146"/>
      <c r="AD252" s="144"/>
      <c r="AE252" s="144"/>
      <c r="AF252" s="144"/>
      <c r="AG252" s="144"/>
      <c r="AH252" s="144"/>
      <c r="AI252" s="144"/>
      <c r="AJ252" s="144"/>
      <c r="AK252" s="144"/>
      <c r="AL252" s="144"/>
      <c r="AM252" s="144"/>
      <c r="AN252" s="147"/>
    </row>
    <row r="253" spans="1:40" s="149" customFormat="1" x14ac:dyDescent="0.2">
      <c r="A253" s="117"/>
      <c r="B253" s="117"/>
      <c r="C253" s="117"/>
      <c r="D253" s="117"/>
      <c r="E253" s="117"/>
      <c r="F253" s="117"/>
      <c r="G253" s="187"/>
      <c r="H253" s="144"/>
      <c r="N253" s="146"/>
      <c r="O253" s="144"/>
      <c r="P253" s="144"/>
      <c r="Q253" s="144"/>
      <c r="R253" s="144"/>
      <c r="S253" s="144"/>
      <c r="T253" s="144"/>
      <c r="U253" s="144"/>
      <c r="V253" s="144"/>
      <c r="W253" s="144"/>
      <c r="X253" s="144"/>
      <c r="Z253" s="144"/>
      <c r="AB253" s="144"/>
      <c r="AC253" s="146"/>
      <c r="AD253" s="144"/>
      <c r="AE253" s="144"/>
      <c r="AF253" s="144"/>
      <c r="AG253" s="144"/>
      <c r="AH253" s="144"/>
      <c r="AI253" s="144"/>
      <c r="AJ253" s="144"/>
      <c r="AK253" s="144"/>
      <c r="AL253" s="144"/>
      <c r="AM253" s="144"/>
      <c r="AN253" s="147"/>
    </row>
    <row r="254" spans="1:40" s="149" customFormat="1" x14ac:dyDescent="0.2">
      <c r="A254" s="117"/>
      <c r="B254" s="117"/>
      <c r="C254" s="117"/>
      <c r="D254" s="117"/>
      <c r="E254" s="117"/>
      <c r="F254" s="117"/>
      <c r="G254" s="187"/>
      <c r="H254" s="144"/>
      <c r="N254" s="146"/>
      <c r="O254" s="144"/>
      <c r="P254" s="144"/>
      <c r="Q254" s="144"/>
      <c r="R254" s="144"/>
      <c r="S254" s="144"/>
      <c r="T254" s="144"/>
      <c r="U254" s="144"/>
      <c r="V254" s="144"/>
      <c r="W254" s="144"/>
      <c r="X254" s="144"/>
      <c r="Z254" s="144"/>
      <c r="AB254" s="144"/>
      <c r="AC254" s="146"/>
      <c r="AD254" s="144"/>
      <c r="AE254" s="144"/>
      <c r="AF254" s="144"/>
      <c r="AG254" s="144"/>
      <c r="AH254" s="144"/>
      <c r="AI254" s="144"/>
      <c r="AJ254" s="144"/>
      <c r="AK254" s="144"/>
      <c r="AL254" s="144"/>
      <c r="AM254" s="144"/>
      <c r="AN254" s="147"/>
    </row>
    <row r="255" spans="1:40" s="149" customFormat="1" x14ac:dyDescent="0.2">
      <c r="A255" s="117"/>
      <c r="B255" s="117"/>
      <c r="C255" s="117"/>
      <c r="D255" s="117"/>
      <c r="E255" s="117"/>
      <c r="F255" s="117"/>
      <c r="G255" s="187"/>
      <c r="H255" s="144"/>
      <c r="N255" s="146"/>
      <c r="O255" s="144"/>
      <c r="P255" s="144"/>
      <c r="Q255" s="144"/>
      <c r="R255" s="144"/>
      <c r="S255" s="144"/>
      <c r="T255" s="144"/>
      <c r="U255" s="144"/>
      <c r="V255" s="144"/>
      <c r="W255" s="144"/>
      <c r="X255" s="144"/>
      <c r="Z255" s="144"/>
      <c r="AB255" s="144"/>
      <c r="AC255" s="146"/>
      <c r="AD255" s="144"/>
      <c r="AE255" s="144"/>
      <c r="AF255" s="144"/>
      <c r="AG255" s="144"/>
      <c r="AH255" s="144"/>
      <c r="AI255" s="144"/>
      <c r="AJ255" s="144"/>
      <c r="AK255" s="144"/>
      <c r="AL255" s="144"/>
      <c r="AM255" s="144"/>
      <c r="AN255" s="147"/>
    </row>
    <row r="256" spans="1:40" s="149" customFormat="1" x14ac:dyDescent="0.2">
      <c r="A256" s="117"/>
      <c r="B256" s="117"/>
      <c r="C256" s="117"/>
      <c r="D256" s="117"/>
      <c r="E256" s="117"/>
      <c r="F256" s="117"/>
      <c r="G256" s="187"/>
      <c r="H256" s="144"/>
      <c r="N256" s="146"/>
      <c r="O256" s="144"/>
      <c r="P256" s="144"/>
      <c r="Q256" s="144"/>
      <c r="R256" s="144"/>
      <c r="S256" s="144"/>
      <c r="T256" s="144"/>
      <c r="U256" s="144"/>
      <c r="V256" s="144"/>
      <c r="W256" s="144"/>
      <c r="X256" s="144"/>
      <c r="Z256" s="144"/>
      <c r="AB256" s="144"/>
      <c r="AC256" s="146"/>
      <c r="AD256" s="144"/>
      <c r="AE256" s="144"/>
      <c r="AF256" s="144"/>
      <c r="AG256" s="144"/>
      <c r="AH256" s="144"/>
      <c r="AI256" s="144"/>
      <c r="AJ256" s="144"/>
      <c r="AK256" s="144"/>
      <c r="AL256" s="144"/>
      <c r="AM256" s="144"/>
      <c r="AN256" s="147"/>
    </row>
    <row r="257" spans="1:40" s="149" customFormat="1" x14ac:dyDescent="0.2">
      <c r="A257" s="117"/>
      <c r="B257" s="117"/>
      <c r="C257" s="117"/>
      <c r="D257" s="117"/>
      <c r="E257" s="117"/>
      <c r="F257" s="117"/>
      <c r="G257" s="187"/>
      <c r="H257" s="144"/>
      <c r="W257" s="144"/>
      <c r="X257" s="144"/>
      <c r="Z257" s="144"/>
      <c r="AB257" s="144"/>
      <c r="AC257" s="146"/>
      <c r="AD257" s="144"/>
      <c r="AE257" s="144"/>
      <c r="AF257" s="144"/>
      <c r="AG257" s="144"/>
      <c r="AH257" s="144"/>
      <c r="AI257" s="144"/>
      <c r="AJ257" s="144"/>
      <c r="AK257" s="144"/>
      <c r="AL257" s="144"/>
      <c r="AM257" s="144"/>
      <c r="AN257" s="147"/>
    </row>
    <row r="258" spans="1:40" s="149" customFormat="1" x14ac:dyDescent="0.2">
      <c r="A258" s="117"/>
      <c r="B258" s="117"/>
      <c r="C258" s="117"/>
      <c r="D258" s="117"/>
      <c r="E258" s="117"/>
      <c r="F258" s="117"/>
      <c r="G258" s="187"/>
      <c r="H258" s="144"/>
      <c r="W258" s="144"/>
      <c r="X258" s="144"/>
      <c r="Z258" s="144"/>
      <c r="AB258" s="144"/>
      <c r="AC258" s="146"/>
      <c r="AD258" s="144"/>
      <c r="AE258" s="144"/>
      <c r="AF258" s="144"/>
      <c r="AG258" s="144"/>
      <c r="AH258" s="144"/>
      <c r="AI258" s="144"/>
      <c r="AJ258" s="144"/>
      <c r="AK258" s="144"/>
      <c r="AL258" s="144"/>
      <c r="AM258" s="144"/>
      <c r="AN258" s="147"/>
    </row>
    <row r="259" spans="1:40" s="149" customFormat="1" x14ac:dyDescent="0.2">
      <c r="A259" s="117"/>
      <c r="B259" s="117"/>
      <c r="C259" s="117"/>
      <c r="D259" s="117"/>
      <c r="E259" s="117"/>
      <c r="F259" s="117"/>
      <c r="G259" s="187"/>
      <c r="H259" s="144"/>
      <c r="W259" s="144"/>
      <c r="X259" s="144"/>
      <c r="Z259" s="144"/>
      <c r="AB259" s="144"/>
      <c r="AC259" s="146"/>
      <c r="AD259" s="144"/>
      <c r="AE259" s="144"/>
      <c r="AF259" s="144"/>
      <c r="AG259" s="144"/>
      <c r="AH259" s="144"/>
      <c r="AI259" s="144"/>
      <c r="AJ259" s="144"/>
      <c r="AK259" s="144"/>
      <c r="AL259" s="144"/>
      <c r="AM259" s="144"/>
      <c r="AN259" s="147"/>
    </row>
    <row r="260" spans="1:40" s="149" customFormat="1" x14ac:dyDescent="0.2">
      <c r="A260" s="117"/>
      <c r="B260" s="117"/>
      <c r="C260" s="117"/>
      <c r="D260" s="117"/>
      <c r="E260" s="117"/>
      <c r="F260" s="117"/>
      <c r="G260" s="187"/>
      <c r="H260" s="144"/>
      <c r="W260" s="144"/>
      <c r="X260" s="144"/>
      <c r="Z260" s="144"/>
      <c r="AB260" s="144"/>
      <c r="AC260" s="146"/>
      <c r="AD260" s="144"/>
      <c r="AE260" s="144"/>
      <c r="AF260" s="144"/>
      <c r="AG260" s="144"/>
      <c r="AH260" s="144"/>
      <c r="AI260" s="144"/>
      <c r="AJ260" s="144"/>
      <c r="AK260" s="144"/>
      <c r="AL260" s="144"/>
      <c r="AM260" s="144"/>
      <c r="AN260" s="147"/>
    </row>
    <row r="261" spans="1:40" s="149" customFormat="1" x14ac:dyDescent="0.2">
      <c r="A261" s="117"/>
      <c r="B261" s="117"/>
      <c r="C261" s="117"/>
      <c r="D261" s="117"/>
      <c r="E261" s="117"/>
      <c r="F261" s="117"/>
      <c r="G261" s="187"/>
      <c r="H261" s="144"/>
      <c r="W261" s="144"/>
      <c r="X261" s="144"/>
      <c r="Z261" s="144"/>
      <c r="AB261" s="144"/>
      <c r="AC261" s="146"/>
      <c r="AD261" s="144"/>
      <c r="AE261" s="144"/>
      <c r="AF261" s="144"/>
      <c r="AG261" s="144"/>
      <c r="AH261" s="144"/>
      <c r="AI261" s="144"/>
      <c r="AJ261" s="144"/>
      <c r="AK261" s="144"/>
      <c r="AL261" s="144"/>
      <c r="AM261" s="144"/>
      <c r="AN261" s="147"/>
    </row>
    <row r="262" spans="1:40" s="149" customFormat="1" x14ac:dyDescent="0.2">
      <c r="A262" s="117"/>
      <c r="B262" s="117"/>
      <c r="C262" s="117"/>
      <c r="D262" s="117"/>
      <c r="E262" s="117"/>
      <c r="F262" s="117"/>
      <c r="G262" s="187"/>
      <c r="H262" s="144"/>
      <c r="AB262" s="144"/>
      <c r="AC262" s="146"/>
      <c r="AD262" s="144"/>
      <c r="AE262" s="144"/>
      <c r="AF262" s="144"/>
      <c r="AG262" s="144"/>
      <c r="AH262" s="144"/>
      <c r="AI262" s="144"/>
      <c r="AJ262" s="144"/>
      <c r="AK262" s="144"/>
      <c r="AL262" s="144"/>
      <c r="AM262" s="144"/>
      <c r="AN262" s="147"/>
    </row>
    <row r="263" spans="1:40" s="149" customFormat="1" x14ac:dyDescent="0.2">
      <c r="A263" s="117"/>
      <c r="B263" s="117"/>
      <c r="C263" s="117"/>
      <c r="D263" s="117"/>
      <c r="E263" s="117"/>
      <c r="F263" s="117"/>
      <c r="G263" s="187"/>
      <c r="H263" s="144"/>
      <c r="AB263" s="144"/>
      <c r="AC263" s="146"/>
      <c r="AD263" s="144"/>
      <c r="AE263" s="144"/>
      <c r="AF263" s="144"/>
      <c r="AG263" s="144"/>
      <c r="AH263" s="144"/>
      <c r="AI263" s="144"/>
      <c r="AJ263" s="144"/>
      <c r="AK263" s="144"/>
      <c r="AL263" s="144"/>
      <c r="AM263" s="144"/>
      <c r="AN263" s="147"/>
    </row>
    <row r="264" spans="1:40" s="149" customFormat="1" x14ac:dyDescent="0.2">
      <c r="A264" s="117"/>
      <c r="B264" s="117"/>
      <c r="C264" s="117"/>
      <c r="D264" s="117"/>
      <c r="E264" s="117"/>
      <c r="F264" s="117"/>
      <c r="G264" s="187"/>
      <c r="H264" s="144"/>
      <c r="AB264" s="144"/>
      <c r="AC264" s="146"/>
      <c r="AD264" s="144"/>
      <c r="AE264" s="144"/>
      <c r="AF264" s="144"/>
      <c r="AG264" s="144"/>
      <c r="AH264" s="144"/>
      <c r="AI264" s="144"/>
      <c r="AJ264" s="144"/>
      <c r="AK264" s="144"/>
      <c r="AL264" s="144"/>
      <c r="AM264" s="144"/>
      <c r="AN264" s="147"/>
    </row>
    <row r="265" spans="1:40" x14ac:dyDescent="0.2">
      <c r="A265" s="117"/>
      <c r="B265" s="117"/>
      <c r="C265" s="117"/>
      <c r="D265" s="117"/>
      <c r="E265" s="117"/>
      <c r="F265" s="117"/>
      <c r="G265" s="187"/>
    </row>
    <row r="266" spans="1:40" x14ac:dyDescent="0.2">
      <c r="A266" s="117"/>
      <c r="B266" s="117"/>
      <c r="C266" s="117"/>
      <c r="D266" s="117"/>
      <c r="E266" s="117"/>
      <c r="F266" s="117"/>
      <c r="G266" s="187"/>
    </row>
    <row r="267" spans="1:40" x14ac:dyDescent="0.2">
      <c r="A267" s="117"/>
      <c r="B267" s="117"/>
      <c r="C267" s="117"/>
      <c r="D267" s="117"/>
      <c r="E267" s="117"/>
      <c r="F267" s="117"/>
      <c r="G267" s="187"/>
    </row>
    <row r="268" spans="1:40" x14ac:dyDescent="0.2">
      <c r="A268" s="117"/>
      <c r="B268" s="117"/>
      <c r="C268" s="117"/>
      <c r="D268" s="117"/>
      <c r="E268" s="117"/>
      <c r="F268" s="117"/>
      <c r="G268" s="187"/>
    </row>
    <row r="269" spans="1:40" x14ac:dyDescent="0.2">
      <c r="A269" s="117"/>
      <c r="B269" s="117"/>
      <c r="C269" s="117"/>
      <c r="D269" s="117"/>
      <c r="E269" s="117"/>
      <c r="F269" s="117"/>
      <c r="G269" s="187"/>
    </row>
    <row r="270" spans="1:40" x14ac:dyDescent="0.2">
      <c r="A270" s="117"/>
      <c r="B270" s="117"/>
      <c r="C270" s="117"/>
      <c r="D270" s="117"/>
      <c r="E270" s="117"/>
      <c r="F270" s="117"/>
      <c r="G270" s="187"/>
    </row>
    <row r="271" spans="1:40" x14ac:dyDescent="0.2">
      <c r="A271" s="117"/>
      <c r="B271" s="117"/>
      <c r="C271" s="117"/>
      <c r="D271" s="117"/>
      <c r="E271" s="117"/>
      <c r="F271" s="117"/>
      <c r="G271" s="187"/>
    </row>
    <row r="272" spans="1:40" x14ac:dyDescent="0.2">
      <c r="A272" s="117"/>
      <c r="B272" s="117"/>
      <c r="C272" s="117"/>
      <c r="D272" s="117"/>
      <c r="E272" s="117"/>
      <c r="F272" s="117"/>
      <c r="G272" s="187"/>
    </row>
    <row r="273" spans="1:7" x14ac:dyDescent="0.2">
      <c r="A273" s="117"/>
      <c r="B273" s="117"/>
      <c r="C273" s="117"/>
      <c r="D273" s="117"/>
      <c r="E273" s="117"/>
      <c r="F273" s="117"/>
      <c r="G273" s="187"/>
    </row>
    <row r="274" spans="1:7" x14ac:dyDescent="0.2">
      <c r="A274" s="117"/>
      <c r="B274" s="117"/>
      <c r="C274" s="117"/>
      <c r="D274" s="117"/>
      <c r="E274" s="117"/>
      <c r="F274" s="117"/>
      <c r="G274" s="187"/>
    </row>
    <row r="275" spans="1:7" x14ac:dyDescent="0.2">
      <c r="A275" s="117"/>
      <c r="B275" s="117"/>
      <c r="C275" s="117"/>
      <c r="D275" s="117"/>
      <c r="E275" s="117"/>
      <c r="F275" s="117"/>
      <c r="G275" s="187"/>
    </row>
    <row r="276" spans="1:7" x14ac:dyDescent="0.2">
      <c r="A276" s="117"/>
      <c r="B276" s="117"/>
      <c r="C276" s="117"/>
      <c r="D276" s="117"/>
      <c r="E276" s="117"/>
      <c r="F276" s="117"/>
      <c r="G276" s="187"/>
    </row>
    <row r="277" spans="1:7" x14ac:dyDescent="0.2">
      <c r="A277" s="117"/>
      <c r="B277" s="117"/>
      <c r="C277" s="117"/>
      <c r="D277" s="117"/>
      <c r="E277" s="117"/>
      <c r="F277" s="117"/>
      <c r="G277" s="187"/>
    </row>
    <row r="278" spans="1:7" x14ac:dyDescent="0.2">
      <c r="A278" s="117"/>
      <c r="B278" s="117"/>
      <c r="C278" s="117"/>
      <c r="D278" s="117"/>
      <c r="E278" s="117"/>
      <c r="F278" s="117"/>
      <c r="G278" s="187"/>
    </row>
    <row r="279" spans="1:7" x14ac:dyDescent="0.2">
      <c r="A279" s="117"/>
      <c r="B279" s="117"/>
      <c r="C279" s="117"/>
      <c r="D279" s="117"/>
      <c r="E279" s="117"/>
      <c r="F279" s="117"/>
      <c r="G279" s="187"/>
    </row>
    <row r="280" spans="1:7" x14ac:dyDescent="0.2">
      <c r="A280" s="117"/>
      <c r="B280" s="117"/>
      <c r="C280" s="117"/>
      <c r="D280" s="117"/>
      <c r="E280" s="117"/>
      <c r="F280" s="117"/>
      <c r="G280" s="187"/>
    </row>
    <row r="281" spans="1:7" x14ac:dyDescent="0.2">
      <c r="A281" s="117"/>
      <c r="B281" s="117"/>
      <c r="C281" s="117"/>
      <c r="D281" s="117"/>
      <c r="E281" s="117"/>
      <c r="F281" s="117"/>
      <c r="G281" s="187"/>
    </row>
    <row r="282" spans="1:7" x14ac:dyDescent="0.2">
      <c r="A282" s="117"/>
      <c r="B282" s="117"/>
      <c r="C282" s="117"/>
      <c r="D282" s="117"/>
      <c r="E282" s="117"/>
      <c r="F282" s="117"/>
      <c r="G282" s="187"/>
    </row>
    <row r="283" spans="1:7" x14ac:dyDescent="0.2">
      <c r="A283" s="117"/>
      <c r="B283" s="117"/>
      <c r="C283" s="117"/>
      <c r="D283" s="117"/>
      <c r="E283" s="117"/>
      <c r="F283" s="117"/>
      <c r="G283" s="187"/>
    </row>
    <row r="284" spans="1:7" x14ac:dyDescent="0.2">
      <c r="A284" s="117"/>
      <c r="B284" s="117"/>
      <c r="C284" s="117"/>
      <c r="D284" s="117"/>
      <c r="E284" s="117"/>
      <c r="F284" s="117"/>
      <c r="G284" s="187"/>
    </row>
    <row r="285" spans="1:7" x14ac:dyDescent="0.2">
      <c r="A285" s="117"/>
      <c r="B285" s="117"/>
      <c r="C285" s="117"/>
      <c r="D285" s="117"/>
      <c r="E285" s="117"/>
      <c r="F285" s="117"/>
      <c r="G285" s="187"/>
    </row>
  </sheetData>
  <sheetProtection algorithmName="SHA-512" hashValue="0J183JLCaz0euuZ9JK9ZMjBAUqvJfQ3bj3qaumC/S0Lt5/8uRuNOxpRpaYsoHW+j5xKtFkCxAWDim4/rq/7yeg==" saltValue="W2qMgq3e8oIAYMNTOucTiQ==" spinCount="100000" sheet="1" objects="1" scenarios="1"/>
  <mergeCells count="28">
    <mergeCell ref="B40:B41"/>
    <mergeCell ref="H50:M51"/>
    <mergeCell ref="H59:M60"/>
    <mergeCell ref="H78:M79"/>
    <mergeCell ref="C22:E22"/>
    <mergeCell ref="C23:E23"/>
    <mergeCell ref="C25:E25"/>
    <mergeCell ref="B34:B35"/>
    <mergeCell ref="B37:B38"/>
    <mergeCell ref="H62:M64"/>
    <mergeCell ref="H40:M42"/>
    <mergeCell ref="C24:E24"/>
    <mergeCell ref="H37:M39"/>
    <mergeCell ref="H31:M33"/>
    <mergeCell ref="C21:E21"/>
    <mergeCell ref="C19:E19"/>
    <mergeCell ref="H19:O19"/>
    <mergeCell ref="C20:E20"/>
    <mergeCell ref="C6:E6"/>
    <mergeCell ref="C8:E8"/>
    <mergeCell ref="H20:O20"/>
    <mergeCell ref="C17:E17"/>
    <mergeCell ref="C18:E18"/>
    <mergeCell ref="J8:M12"/>
    <mergeCell ref="H15:M16"/>
    <mergeCell ref="C16:E16"/>
    <mergeCell ref="C13:D13"/>
    <mergeCell ref="C10:D10"/>
  </mergeCells>
  <conditionalFormatting sqref="C53:D53 B52:B53 B45:B50">
    <cfRule type="expression" dxfId="461" priority="289" stopIfTrue="1">
      <formula>E45="n/a"</formula>
    </cfRule>
  </conditionalFormatting>
  <conditionalFormatting sqref="G53 C52 N52:N53 C45:C50">
    <cfRule type="expression" dxfId="460" priority="288" stopIfTrue="1">
      <formula>E45="n/a"</formula>
    </cfRule>
  </conditionalFormatting>
  <conditionalFormatting sqref="D52 D45:D50">
    <cfRule type="expression" dxfId="459" priority="287" stopIfTrue="1">
      <formula>E45="n/a"</formula>
    </cfRule>
  </conditionalFormatting>
  <conditionalFormatting sqref="G52 G45:G50">
    <cfRule type="expression" dxfId="458" priority="286" stopIfTrue="1">
      <formula>E45="n/a"</formula>
    </cfRule>
  </conditionalFormatting>
  <conditionalFormatting sqref="F52:F53 R52:R53 F45:F50">
    <cfRule type="expression" dxfId="457" priority="285" stopIfTrue="1">
      <formula>E45="n/a"</formula>
    </cfRule>
  </conditionalFormatting>
  <conditionalFormatting sqref="E52:E53 E45:E50">
    <cfRule type="expression" dxfId="456" priority="272" stopIfTrue="1">
      <formula>E45="n/a"</formula>
    </cfRule>
  </conditionalFormatting>
  <conditionalFormatting sqref="C58">
    <cfRule type="expression" dxfId="455" priority="268" stopIfTrue="1">
      <formula>E58="n/a"</formula>
    </cfRule>
    <cfRule type="expression" dxfId="454" priority="463" stopIfTrue="1">
      <formula>$F$19="No"</formula>
    </cfRule>
  </conditionalFormatting>
  <conditionalFormatting sqref="E70 C79:G79 C71:E73">
    <cfRule type="expression" dxfId="453" priority="335" stopIfTrue="1">
      <formula>(OR($G$67=$Q$133,$G$67=$Q$132,$G$67=$Q$130))</formula>
    </cfRule>
  </conditionalFormatting>
  <conditionalFormatting sqref="G110">
    <cfRule type="expression" dxfId="452" priority="339" stopIfTrue="1">
      <formula>OR($G$107=$Q$132,$G$107=$Q$130)</formula>
    </cfRule>
    <cfRule type="expression" dxfId="451" priority="340" stopIfTrue="1">
      <formula>$G$109=0</formula>
    </cfRule>
    <cfRule type="expression" dxfId="450" priority="341" stopIfTrue="1">
      <formula>AND((OR($G$86=$Q$132,$G$86=$Q$133)),(OR($G$67=$Q$132,$G$67=$Q$133)))</formula>
    </cfRule>
  </conditionalFormatting>
  <conditionalFormatting sqref="G88">
    <cfRule type="expression" dxfId="449" priority="342" stopIfTrue="1">
      <formula>OR($G$86=$Q$133,$G$86=$Q$132,$G$86=$Q$130)</formula>
    </cfRule>
  </conditionalFormatting>
  <conditionalFormatting sqref="C70">
    <cfRule type="expression" dxfId="448" priority="343" stopIfTrue="1">
      <formula>(OR($G$67=$Q$133,$G$67=$Q$132,$G$67=$Q$130))</formula>
    </cfRule>
  </conditionalFormatting>
  <conditionalFormatting sqref="D70">
    <cfRule type="expression" dxfId="447" priority="359" stopIfTrue="1">
      <formula>(OR($G$67=$Q$133,$G$67=$Q$132,$G$67=$Q$130))</formula>
    </cfRule>
    <cfRule type="expression" dxfId="446" priority="360" stopIfTrue="1">
      <formula>(OR($G$67=$Q$133,$G$67=$Q$132,$G$67=$Q$130))</formula>
    </cfRule>
  </conditionalFormatting>
  <conditionalFormatting sqref="F70:F73">
    <cfRule type="expression" dxfId="445" priority="361" stopIfTrue="1">
      <formula>E70=$Q$132</formula>
    </cfRule>
    <cfRule type="expression" dxfId="444" priority="362" stopIfTrue="1">
      <formula>(OR($G$67=$Q$133,$G$67=$Q$132,$G$67=$Q$130))</formula>
    </cfRule>
  </conditionalFormatting>
  <conditionalFormatting sqref="G70:G73">
    <cfRule type="expression" dxfId="443" priority="368" stopIfTrue="1">
      <formula>(OR($G$67=$Q$133,$G$67=$Q$132,$G$67=$Q$130))</formula>
    </cfRule>
    <cfRule type="expression" dxfId="442" priority="369" stopIfTrue="1">
      <formula>E70=$Q$132</formula>
    </cfRule>
  </conditionalFormatting>
  <conditionalFormatting sqref="G99 D102:E102 G105 D107:G107 D110:F110 G115">
    <cfRule type="expression" dxfId="441" priority="386" stopIfTrue="1">
      <formula>AND((OR($G$86=$Q$132,$G$86=$Q$133,$G$86=$Q$130)),(OR($G$67=$Q$132,$G$67=$Q$133,$G$67=$Q$130)))</formula>
    </cfRule>
  </conditionalFormatting>
  <conditionalFormatting sqref="F102">
    <cfRule type="expression" dxfId="440" priority="392" stopIfTrue="1">
      <formula>AND((OR($G$86=$Q$132,$G$86=$Q$133,$G$86=$Q$130)),(OR($G$67=$Q$132,$G$67=$Q$133,$G$67=$Q$130)))</formula>
    </cfRule>
    <cfRule type="expression" dxfId="439" priority="393" stopIfTrue="1">
      <formula>$E$102=$Q$132</formula>
    </cfRule>
  </conditionalFormatting>
  <conditionalFormatting sqref="G102">
    <cfRule type="expression" dxfId="438" priority="394" stopIfTrue="1">
      <formula>$E$102=$Q$132</formula>
    </cfRule>
    <cfRule type="expression" dxfId="437" priority="395" stopIfTrue="1">
      <formula>AND((OR($G$86=$Q$132,$G$86=$Q$133,$G$86=$Q$130)),(OR($G$67=$Q$132,$G$67=$Q$133,$G$67=$Q$130)))</formula>
    </cfRule>
  </conditionalFormatting>
  <conditionalFormatting sqref="G109">
    <cfRule type="expression" dxfId="436" priority="400" stopIfTrue="1">
      <formula>AND((OR($G$86=$Q$132,$G$86=$Q$133,$G$86=$Q$130)),(OR($G$67=$Q$132,$G$67=$Q$133,$G$67=$Q$130)))</formula>
    </cfRule>
    <cfRule type="expression" dxfId="435" priority="401" stopIfTrue="1">
      <formula>OR($G$107=$Q$130,$G$107=$Q$130)</formula>
    </cfRule>
    <cfRule type="expression" dxfId="434" priority="402" stopIfTrue="1">
      <formula>AND((OR($G$86=$Q$132,$G$86=$Q$133,$G$86=$Q$130)),(OR($G$67=$Q$132,$G$67=$Q$133,$G$67=$Q$130)))</formula>
    </cfRule>
  </conditionalFormatting>
  <conditionalFormatting sqref="G112">
    <cfRule type="expression" dxfId="433" priority="403" stopIfTrue="1">
      <formula>AND((OR($G$86=$Q$132,$G$86=$Q$133,$G$86=$Q$130)),(OR($G$67=$Q$132,$G$67=$Q$133,$G$67=$Q$130)))</formula>
    </cfRule>
    <cfRule type="expression" dxfId="432" priority="404" stopIfTrue="1">
      <formula>OR($G$107=$Q$130,$G$107=$Q$130)</formula>
    </cfRule>
    <cfRule type="expression" dxfId="431" priority="405" stopIfTrue="1">
      <formula>AND((OR($G$86=$Q$132,$G$86=$Q$133,$G$86=$Q$130)),(OR($G$67=$Q$132,$G$67=$Q$133,$G$67=$Q$130)))</formula>
    </cfRule>
  </conditionalFormatting>
  <conditionalFormatting sqref="G94">
    <cfRule type="expression" dxfId="430" priority="406" stopIfTrue="1">
      <formula>OR($G$86=$Q$133,$G$86=$Q$132,$G$88=$S$130)</formula>
    </cfRule>
    <cfRule type="expression" dxfId="429" priority="407" stopIfTrue="1">
      <formula>$G$88=$S$131</formula>
    </cfRule>
    <cfRule type="expression" dxfId="428" priority="408" stopIfTrue="1">
      <formula>OR($G$86=$Q$133,$G$86=$Q$132,$G$86=$Q$130,$G$88=$S$130)</formula>
    </cfRule>
  </conditionalFormatting>
  <conditionalFormatting sqref="F94">
    <cfRule type="expression" dxfId="427" priority="409" stopIfTrue="1">
      <formula>OR($G$86=$Q$133,$G$86=$Q$132,$G$86=$Q$130,$G$88=$S$130)</formula>
    </cfRule>
    <cfRule type="expression" dxfId="426" priority="410" stopIfTrue="1">
      <formula>$G$88=$S$131</formula>
    </cfRule>
    <cfRule type="expression" dxfId="425" priority="411" stopIfTrue="1">
      <formula>OR($G$86=$Q$133,$G$86=$Q$132,$G$88=$S$130)</formula>
    </cfRule>
  </conditionalFormatting>
  <conditionalFormatting sqref="B91">
    <cfRule type="expression" dxfId="424" priority="412" stopIfTrue="1">
      <formula>OR($G$86=$Q$133,$G$86=$Q$132,$G$86=$Q$130,$G$88=$S$130)</formula>
    </cfRule>
    <cfRule type="expression" dxfId="423" priority="413" stopIfTrue="1">
      <formula>$G$88=$S$132</formula>
    </cfRule>
  </conditionalFormatting>
  <conditionalFormatting sqref="C91:G91">
    <cfRule type="expression" dxfId="422" priority="414" stopIfTrue="1">
      <formula>$G$88=$S$132</formula>
    </cfRule>
    <cfRule type="expression" dxfId="421" priority="415" stopIfTrue="1">
      <formula>OR($G$86=$Q$133,$G$86=$Q$132,$G$86=$Q$130,$G$88=$S$130)</formula>
    </cfRule>
  </conditionalFormatting>
  <conditionalFormatting sqref="D58">
    <cfRule type="expression" dxfId="420" priority="465" stopIfTrue="1">
      <formula>E58="n/a"</formula>
    </cfRule>
    <cfRule type="expression" dxfId="419" priority="466" stopIfTrue="1">
      <formula>$F$19="No"</formula>
    </cfRule>
  </conditionalFormatting>
  <conditionalFormatting sqref="F58">
    <cfRule type="expression" dxfId="418" priority="467" stopIfTrue="1">
      <formula>E58="n/a"</formula>
    </cfRule>
    <cfRule type="expression" dxfId="417" priority="468" stopIfTrue="1">
      <formula>$F$19="No"</formula>
    </cfRule>
  </conditionalFormatting>
  <conditionalFormatting sqref="G58">
    <cfRule type="expression" dxfId="416" priority="469" stopIfTrue="1">
      <formula>E58="n/a"</formula>
    </cfRule>
    <cfRule type="expression" dxfId="415" priority="470" stopIfTrue="1">
      <formula>$F$19="No"</formula>
    </cfRule>
  </conditionalFormatting>
  <conditionalFormatting sqref="B55:B57 D55:D57">
    <cfRule type="expression" dxfId="414" priority="471" stopIfTrue="1">
      <formula>E55="n/a"</formula>
    </cfRule>
    <cfRule type="expression" dxfId="413" priority="472" stopIfTrue="1">
      <formula>$F$19="no"</formula>
    </cfRule>
  </conditionalFormatting>
  <conditionalFormatting sqref="G55:G57 C55:C57 C59:C60">
    <cfRule type="expression" dxfId="412" priority="475" stopIfTrue="1">
      <formula>E55="n/a"</formula>
    </cfRule>
    <cfRule type="expression" dxfId="411" priority="476" stopIfTrue="1">
      <formula>$F$19="no"</formula>
    </cfRule>
  </conditionalFormatting>
  <conditionalFormatting sqref="F55:F57">
    <cfRule type="expression" dxfId="410" priority="481" stopIfTrue="1">
      <formula>E55="n/a"</formula>
    </cfRule>
    <cfRule type="expression" dxfId="409" priority="482" stopIfTrue="1">
      <formula>$F$19="no"</formula>
    </cfRule>
  </conditionalFormatting>
  <conditionalFormatting sqref="E58">
    <cfRule type="expression" dxfId="408" priority="483" stopIfTrue="1">
      <formula>E58="n/a"</formula>
    </cfRule>
    <cfRule type="expression" dxfId="407" priority="484" stopIfTrue="1">
      <formula>$F$19="No"</formula>
    </cfRule>
  </conditionalFormatting>
  <conditionalFormatting sqref="E55:E57">
    <cfRule type="expression" dxfId="406" priority="485" stopIfTrue="1">
      <formula>#REF!="n/a"</formula>
    </cfRule>
    <cfRule type="expression" dxfId="405" priority="486" stopIfTrue="1">
      <formula>$F$19="no"</formula>
    </cfRule>
  </conditionalFormatting>
  <conditionalFormatting sqref="E59:E60">
    <cfRule type="expression" dxfId="404" priority="487" stopIfTrue="1">
      <formula>$F$19="No"</formula>
    </cfRule>
  </conditionalFormatting>
  <conditionalFormatting sqref="C74 D74:E75">
    <cfRule type="expression" dxfId="403" priority="499" stopIfTrue="1">
      <formula>(OR($G$67=$Q$133,$G$67=$Q$132,$G$67=$Q$130))</formula>
    </cfRule>
    <cfRule type="expression" dxfId="402" priority="500" stopIfTrue="1">
      <formula>$F$19=$Q$132</formula>
    </cfRule>
  </conditionalFormatting>
  <conditionalFormatting sqref="C75">
    <cfRule type="expression" dxfId="401" priority="521" stopIfTrue="1">
      <formula>(OR($G$67=$Q$133,$G$67=$Q$132,$G$67=$Q$130))</formula>
    </cfRule>
    <cfRule type="expression" dxfId="400" priority="522" stopIfTrue="1">
      <formula>$F$19=$Q$132</formula>
    </cfRule>
  </conditionalFormatting>
  <conditionalFormatting sqref="F103">
    <cfRule type="expression" dxfId="399" priority="593" stopIfTrue="1">
      <formula>B30=R132</formula>
    </cfRule>
    <cfRule type="expression" dxfId="398" priority="594" stopIfTrue="1">
      <formula>AND((OR($G$86=$Q$132,$G$86=$Q$133,$G$86=$Q$130)),(OR($G$67=$Q$132,$G$67=$Q$133,$G$67=$Q$130)))</formula>
    </cfRule>
    <cfRule type="expression" dxfId="397" priority="595" stopIfTrue="1">
      <formula>$E$103=$Q$132</formula>
    </cfRule>
  </conditionalFormatting>
  <conditionalFormatting sqref="D41">
    <cfRule type="expression" dxfId="396" priority="599" stopIfTrue="1">
      <formula>OR($D$40=$P$132,$D$40=$P$130)</formula>
    </cfRule>
  </conditionalFormatting>
  <conditionalFormatting sqref="B34:B35 B37:B38 C35:D35 C34:G34 C38:D38 C37:G37 B40:B41 C41 C40:G40">
    <cfRule type="expression" dxfId="395" priority="600" stopIfTrue="1">
      <formula>$B$30=$R$132</formula>
    </cfRule>
  </conditionalFormatting>
  <conditionalFormatting sqref="G103">
    <cfRule type="expression" dxfId="394" priority="613" stopIfTrue="1">
      <formula>B30=R132</formula>
    </cfRule>
    <cfRule type="expression" dxfId="393" priority="614" stopIfTrue="1">
      <formula>AND((OR($G$86=$Q$132,$G$86=$Q$133,$G$86=$Q$130)),(OR($G$67=$Q$132,$G$67=$Q$133,$G$67=$Q$130)))</formula>
    </cfRule>
    <cfRule type="expression" dxfId="392" priority="615" stopIfTrue="1">
      <formula>$E$103=$Q$132</formula>
    </cfRule>
  </conditionalFormatting>
  <conditionalFormatting sqref="D103">
    <cfRule type="expression" dxfId="391" priority="621" stopIfTrue="1">
      <formula>B30=R132</formula>
    </cfRule>
    <cfRule type="expression" dxfId="390" priority="622" stopIfTrue="1">
      <formula>AND((OR($G$86=$Q$132,$G$86=$Q$133,$G$86=$Q$130)),(OR($G$67=$Q$132,$G$67=$Q$133,$G$67=$Q$130)))</formula>
    </cfRule>
  </conditionalFormatting>
  <conditionalFormatting sqref="E103">
    <cfRule type="expression" dxfId="389" priority="623" stopIfTrue="1">
      <formula>B30=R132</formula>
    </cfRule>
    <cfRule type="expression" dxfId="388" priority="624" stopIfTrue="1">
      <formula>AND((OR($G$86=$Q$132,$G$86=$Q$133,$G$86=$Q$130)),(OR($G$67=$Q$132,$G$67=$Q$133,$G$67=$Q$130)))</formula>
    </cfRule>
  </conditionalFormatting>
  <conditionalFormatting sqref="G16">
    <cfRule type="expression" dxfId="387" priority="21" stopIfTrue="1">
      <formula>$B$13=$Q$130</formula>
    </cfRule>
    <cfRule type="expression" dxfId="386" priority="36" stopIfTrue="1">
      <formula>$B$13=$Q$130</formula>
    </cfRule>
    <cfRule type="expression" dxfId="385" priority="636" stopIfTrue="1">
      <formula>F16=$Q$131</formula>
    </cfRule>
    <cfRule type="expression" dxfId="384" priority="637" stopIfTrue="1">
      <formula>AND(OR($F$16=$Q$132,$F$16=$Q$130),$G$16&gt;0)</formula>
    </cfRule>
  </conditionalFormatting>
  <conditionalFormatting sqref="C13 E13:G13">
    <cfRule type="expression" dxfId="383" priority="638" stopIfTrue="1">
      <formula>$B$13=$R$134</formula>
    </cfRule>
  </conditionalFormatting>
  <conditionalFormatting sqref="G25">
    <cfRule type="expression" dxfId="382" priority="13" stopIfTrue="1">
      <formula>$B$13=$Q$130</formula>
    </cfRule>
    <cfRule type="expression" dxfId="381" priority="27" stopIfTrue="1">
      <formula>$B$13=$R$135</formula>
    </cfRule>
    <cfRule type="expression" dxfId="380" priority="66" stopIfTrue="1">
      <formula>F25=$Q$131</formula>
    </cfRule>
    <cfRule type="expression" dxfId="379" priority="644" stopIfTrue="1">
      <formula>AND(OR($F$25=$Q$132,$F$25=$Q$130),$G$25&gt;0)</formula>
    </cfRule>
  </conditionalFormatting>
  <conditionalFormatting sqref="F74">
    <cfRule type="expression" dxfId="378" priority="646" stopIfTrue="1">
      <formula>$F$19=$Q$132</formula>
    </cfRule>
    <cfRule type="expression" dxfId="377" priority="647" stopIfTrue="1">
      <formula>(OR($G$67=$Q$133,$G$67=$Q$132,$G$67=$Q$130))</formula>
    </cfRule>
    <cfRule type="expression" dxfId="376" priority="648" stopIfTrue="1">
      <formula>E74=$Q$132</formula>
    </cfRule>
  </conditionalFormatting>
  <conditionalFormatting sqref="G74">
    <cfRule type="expression" dxfId="375" priority="649" stopIfTrue="1">
      <formula>(OR($G$67=$Q$133,$G$67=$Q$132,$G$67=$Q$130))</formula>
    </cfRule>
    <cfRule type="expression" dxfId="374" priority="650" stopIfTrue="1">
      <formula>$F$19=$Q$132</formula>
    </cfRule>
    <cfRule type="expression" dxfId="373" priority="651" stopIfTrue="1">
      <formula>E74=$Q$132</formula>
    </cfRule>
  </conditionalFormatting>
  <conditionalFormatting sqref="F75">
    <cfRule type="expression" dxfId="372" priority="652" stopIfTrue="1">
      <formula>(OR($G$67=$Q$133,$G$67=$Q$132,$G$67=$Q$130))</formula>
    </cfRule>
    <cfRule type="expression" dxfId="371" priority="653" stopIfTrue="1">
      <formula>E73=$Q$132</formula>
    </cfRule>
    <cfRule type="expression" dxfId="370" priority="654" stopIfTrue="1">
      <formula>$F$19=$Q$132</formula>
    </cfRule>
  </conditionalFormatting>
  <conditionalFormatting sqref="G75">
    <cfRule type="expression" dxfId="369" priority="655" stopIfTrue="1">
      <formula>E73=$Q$132</formula>
    </cfRule>
    <cfRule type="expression" dxfId="368" priority="656" stopIfTrue="1">
      <formula>$F$19=$Q$132</formula>
    </cfRule>
    <cfRule type="expression" dxfId="367" priority="657" stopIfTrue="1">
      <formula>(OR($G$67=$Q$133,$G$67=$Q$132,$G$67=$Q$130))</formula>
    </cfRule>
  </conditionalFormatting>
  <conditionalFormatting sqref="B58">
    <cfRule type="expression" dxfId="366" priority="488" stopIfTrue="1">
      <formula>E58="n/a"</formula>
    </cfRule>
    <cfRule type="expression" dxfId="365" priority="489" stopIfTrue="1">
      <formula>$F$19="No"</formula>
    </cfRule>
  </conditionalFormatting>
  <conditionalFormatting sqref="B21">
    <cfRule type="expression" dxfId="364" priority="85" stopIfTrue="1">
      <formula>$B$13=$R$135</formula>
    </cfRule>
    <cfRule type="expression" dxfId="363" priority="629" stopIfTrue="1">
      <formula>$B$13=$Q$130</formula>
    </cfRule>
  </conditionalFormatting>
  <conditionalFormatting sqref="B22">
    <cfRule type="expression" dxfId="362" priority="60" stopIfTrue="1">
      <formula>$B$13=$Q$130</formula>
    </cfRule>
    <cfRule type="expression" dxfId="361" priority="84" stopIfTrue="1">
      <formula>$B$13=$R$135</formula>
    </cfRule>
  </conditionalFormatting>
  <conditionalFormatting sqref="B23">
    <cfRule type="expression" dxfId="360" priority="59" stopIfTrue="1">
      <formula>$B$13=$Q$130</formula>
    </cfRule>
    <cfRule type="expression" dxfId="359" priority="83" stopIfTrue="1">
      <formula>$B$13=$R$135</formula>
    </cfRule>
  </conditionalFormatting>
  <conditionalFormatting sqref="B24">
    <cfRule type="expression" dxfId="358" priority="58" stopIfTrue="1">
      <formula>$B$13=$Q$130</formula>
    </cfRule>
    <cfRule type="expression" dxfId="357" priority="82" stopIfTrue="1">
      <formula>$B$13=$R$135</formula>
    </cfRule>
  </conditionalFormatting>
  <conditionalFormatting sqref="B25">
    <cfRule type="expression" dxfId="356" priority="57" stopIfTrue="1">
      <formula>$B$13=$Q$130</formula>
    </cfRule>
    <cfRule type="expression" dxfId="355" priority="81" stopIfTrue="1">
      <formula>$B$13=$R$135</formula>
    </cfRule>
  </conditionalFormatting>
  <conditionalFormatting sqref="C21:E21">
    <cfRule type="expression" dxfId="354" priority="51" stopIfTrue="1">
      <formula>$B$13=$Q$130</formula>
    </cfRule>
    <cfRule type="expression" dxfId="353" priority="80" stopIfTrue="1">
      <formula>$B$13=$R$135</formula>
    </cfRule>
  </conditionalFormatting>
  <conditionalFormatting sqref="C22:E22">
    <cfRule type="expression" dxfId="352" priority="50" stopIfTrue="1">
      <formula>$B$13=$Q$130</formula>
    </cfRule>
    <cfRule type="expression" dxfId="351" priority="79" stopIfTrue="1">
      <formula>$B$13=$R$135</formula>
    </cfRule>
  </conditionalFormatting>
  <conditionalFormatting sqref="C23:E23">
    <cfRule type="expression" dxfId="350" priority="49" stopIfTrue="1">
      <formula>$B$13=$Q$130</formula>
    </cfRule>
    <cfRule type="expression" dxfId="349" priority="78" stopIfTrue="1">
      <formula>$B$13=$R$135</formula>
    </cfRule>
  </conditionalFormatting>
  <conditionalFormatting sqref="C24:E24">
    <cfRule type="expression" dxfId="348" priority="48" stopIfTrue="1">
      <formula>$B$13=$Q$130</formula>
    </cfRule>
    <cfRule type="expression" dxfId="347" priority="77" stopIfTrue="1">
      <formula>$B$13=$R$135</formula>
    </cfRule>
  </conditionalFormatting>
  <conditionalFormatting sqref="C25:E25">
    <cfRule type="expression" dxfId="346" priority="47" stopIfTrue="1">
      <formula>$B$13=$Q$130</formula>
    </cfRule>
    <cfRule type="expression" dxfId="345" priority="76" stopIfTrue="1">
      <formula>$B$13=$R$135</formula>
    </cfRule>
  </conditionalFormatting>
  <conditionalFormatting sqref="F21">
    <cfRule type="expression" dxfId="344" priority="41" stopIfTrue="1">
      <formula>$B$13=$Q$130</formula>
    </cfRule>
    <cfRule type="expression" dxfId="343" priority="75" stopIfTrue="1">
      <formula>$B$13=$R$135</formula>
    </cfRule>
  </conditionalFormatting>
  <conditionalFormatting sqref="F22">
    <cfRule type="expression" dxfId="342" priority="40" stopIfTrue="1">
      <formula>$B$13=$Q$130</formula>
    </cfRule>
    <cfRule type="expression" dxfId="341" priority="74" stopIfTrue="1">
      <formula>$B$13=$R$135</formula>
    </cfRule>
  </conditionalFormatting>
  <conditionalFormatting sqref="F23">
    <cfRule type="expression" dxfId="340" priority="39" stopIfTrue="1">
      <formula>$B$13=$Q$130</formula>
    </cfRule>
    <cfRule type="expression" dxfId="339" priority="73" stopIfTrue="1">
      <formula>$B$13=$R$135</formula>
    </cfRule>
  </conditionalFormatting>
  <conditionalFormatting sqref="F24">
    <cfRule type="expression" dxfId="338" priority="38" stopIfTrue="1">
      <formula>$B$13=$Q$130</formula>
    </cfRule>
    <cfRule type="expression" dxfId="337" priority="72" stopIfTrue="1">
      <formula>$B$13=$R$135</formula>
    </cfRule>
  </conditionalFormatting>
  <conditionalFormatting sqref="F25">
    <cfRule type="expression" dxfId="336" priority="37" stopIfTrue="1">
      <formula>$B$13=$Q$130</formula>
    </cfRule>
    <cfRule type="expression" dxfId="335" priority="71" stopIfTrue="1">
      <formula>$B$13=$R$135</formula>
    </cfRule>
  </conditionalFormatting>
  <conditionalFormatting sqref="G21">
    <cfRule type="expression" dxfId="334" priority="17" stopIfTrue="1">
      <formula>F21=$Q$131</formula>
    </cfRule>
    <cfRule type="expression" dxfId="333" priority="24" stopIfTrue="1">
      <formula>$B$13=$Q$130</formula>
    </cfRule>
    <cfRule type="expression" dxfId="332" priority="31" stopIfTrue="1">
      <formula>OR($B$13=$R$134,$B$13=$R$135,$B$13=$R$136)</formula>
    </cfRule>
    <cfRule type="expression" dxfId="331" priority="70" stopIfTrue="1">
      <formula>AND(OR($F$21=$Q$132,$F$21=$Q$130),$G$21&gt;0)</formula>
    </cfRule>
  </conditionalFormatting>
  <conditionalFormatting sqref="G22">
    <cfRule type="expression" dxfId="330" priority="16" stopIfTrue="1">
      <formula>F22=$Q$131</formula>
    </cfRule>
    <cfRule type="expression" dxfId="329" priority="23" stopIfTrue="1">
      <formula>$B$13=$Q$130</formula>
    </cfRule>
    <cfRule type="expression" dxfId="328" priority="30" stopIfTrue="1">
      <formula>OR($B$13=$R$134,$B$13=$R$135,$B$13=$R$136)</formula>
    </cfRule>
    <cfRule type="expression" dxfId="327" priority="69" stopIfTrue="1">
      <formula>AND(OR($F$22=$Q$132,$F$22=$Q$130),$G$22&gt;0)</formula>
    </cfRule>
  </conditionalFormatting>
  <conditionalFormatting sqref="G23">
    <cfRule type="expression" dxfId="326" priority="15" stopIfTrue="1">
      <formula>$B$13=$Q$130</formula>
    </cfRule>
    <cfRule type="expression" dxfId="325" priority="29" stopIfTrue="1">
      <formula>$B$13=$R$135</formula>
    </cfRule>
    <cfRule type="expression" dxfId="324" priority="68" stopIfTrue="1">
      <formula>F23=$Q$131</formula>
    </cfRule>
    <cfRule type="expression" dxfId="323" priority="641" stopIfTrue="1">
      <formula>AND(OR($F$23=$Q$132,$F$23=$Q$130),$G$23&gt;0)</formula>
    </cfRule>
  </conditionalFormatting>
  <conditionalFormatting sqref="G24">
    <cfRule type="expression" dxfId="322" priority="14" stopIfTrue="1">
      <formula>F24=$Q$131</formula>
    </cfRule>
    <cfRule type="expression" dxfId="321" priority="22" stopIfTrue="1">
      <formula>$B$13=$Q$130</formula>
    </cfRule>
    <cfRule type="expression" dxfId="320" priority="28" stopIfTrue="1">
      <formula>OR($B$13=$R$134,$B$13=$R$135,$B$13=$R$136)</formula>
    </cfRule>
    <cfRule type="expression" dxfId="319" priority="67" stopIfTrue="1">
      <formula>AND(OR($F$24=$Q$132,$F$24=$Q$130),$G$24&gt;0)</formula>
    </cfRule>
  </conditionalFormatting>
  <conditionalFormatting sqref="B16">
    <cfRule type="expression" dxfId="318" priority="65" stopIfTrue="1">
      <formula>$B$13=$Q$130</formula>
    </cfRule>
  </conditionalFormatting>
  <conditionalFormatting sqref="B17">
    <cfRule type="expression" dxfId="317" priority="64" stopIfTrue="1">
      <formula>$B$13=$Q$130</formula>
    </cfRule>
  </conditionalFormatting>
  <conditionalFormatting sqref="B18">
    <cfRule type="expression" dxfId="316" priority="63" stopIfTrue="1">
      <formula>$B$13=$Q$130</formula>
    </cfRule>
  </conditionalFormatting>
  <conditionalFormatting sqref="B19">
    <cfRule type="expression" dxfId="315" priority="62" stopIfTrue="1">
      <formula>$B$13=$Q$130</formula>
    </cfRule>
  </conditionalFormatting>
  <conditionalFormatting sqref="B20">
    <cfRule type="expression" dxfId="314" priority="61" stopIfTrue="1">
      <formula>$B$13=$Q$130</formula>
    </cfRule>
  </conditionalFormatting>
  <conditionalFormatting sqref="C16:E16">
    <cfRule type="expression" dxfId="313" priority="56" stopIfTrue="1">
      <formula>$B$13=$Q$130</formula>
    </cfRule>
  </conditionalFormatting>
  <conditionalFormatting sqref="C17:E17">
    <cfRule type="expression" dxfId="312" priority="55" stopIfTrue="1">
      <formula>$B$13=$Q$130</formula>
    </cfRule>
  </conditionalFormatting>
  <conditionalFormatting sqref="C18:E18">
    <cfRule type="expression" dxfId="311" priority="54" stopIfTrue="1">
      <formula>$B$13=$Q$130</formula>
    </cfRule>
  </conditionalFormatting>
  <conditionalFormatting sqref="C19:E19">
    <cfRule type="expression" dxfId="310" priority="53" stopIfTrue="1">
      <formula>$B$13=$Q$130</formula>
    </cfRule>
  </conditionalFormatting>
  <conditionalFormatting sqref="C20:E20">
    <cfRule type="expression" dxfId="309" priority="52" stopIfTrue="1">
      <formula>$B$13=$Q$130</formula>
    </cfRule>
  </conditionalFormatting>
  <conditionalFormatting sqref="F16">
    <cfRule type="expression" dxfId="308" priority="46" stopIfTrue="1">
      <formula>$B$13=$Q$130</formula>
    </cfRule>
  </conditionalFormatting>
  <conditionalFormatting sqref="F17">
    <cfRule type="expression" dxfId="307" priority="45" stopIfTrue="1">
      <formula>$B$13=$Q$130</formula>
    </cfRule>
  </conditionalFormatting>
  <conditionalFormatting sqref="F18">
    <cfRule type="expression" dxfId="306" priority="44" stopIfTrue="1">
      <formula>$B$13=$Q$130</formula>
    </cfRule>
  </conditionalFormatting>
  <conditionalFormatting sqref="F19">
    <cfRule type="expression" dxfId="305" priority="43" stopIfTrue="1">
      <formula>$B$13=$Q$130</formula>
    </cfRule>
  </conditionalFormatting>
  <conditionalFormatting sqref="F20">
    <cfRule type="expression" dxfId="304" priority="42" stopIfTrue="1">
      <formula>$B$13=$Q$130</formula>
    </cfRule>
  </conditionalFormatting>
  <conditionalFormatting sqref="G17">
    <cfRule type="expression" dxfId="303" priority="20" stopIfTrue="1">
      <formula>$B$13=$Q$130</formula>
    </cfRule>
    <cfRule type="expression" dxfId="302" priority="35" stopIfTrue="1">
      <formula>F17=$Q$131</formula>
    </cfRule>
    <cfRule type="expression" dxfId="301" priority="633" stopIfTrue="1">
      <formula>AND(OR($F$17=$Q$132,$F$17=$Q$130),$G$17&gt;0)</formula>
    </cfRule>
  </conditionalFormatting>
  <conditionalFormatting sqref="G18">
    <cfRule type="expression" dxfId="300" priority="19" stopIfTrue="1">
      <formula>F18=$Q$131</formula>
    </cfRule>
    <cfRule type="expression" dxfId="299" priority="26" stopIfTrue="1">
      <formula>$B$13=$Q$130</formula>
    </cfRule>
    <cfRule type="expression" dxfId="298" priority="34" stopIfTrue="1">
      <formula>AND(OR($F$18=$Q$132,$F$18=$Q$130),$G$18&gt;0)</formula>
    </cfRule>
  </conditionalFormatting>
  <conditionalFormatting sqref="G19">
    <cfRule type="expression" dxfId="297" priority="18" stopIfTrue="1">
      <formula>F19=$Q$131</formula>
    </cfRule>
    <cfRule type="expression" dxfId="296" priority="25" stopIfTrue="1">
      <formula>$B$13=$Q$130</formula>
    </cfRule>
    <cfRule type="expression" dxfId="295" priority="33" stopIfTrue="1">
      <formula>AND(OR($F$19=$Q$132,$F$19=$Q$130),$G$19&gt;0)</formula>
    </cfRule>
  </conditionalFormatting>
  <conditionalFormatting sqref="G20">
    <cfRule type="expression" dxfId="294" priority="32" stopIfTrue="1">
      <formula>$B$13=$Q$130</formula>
    </cfRule>
  </conditionalFormatting>
  <conditionalFormatting sqref="C76:C77">
    <cfRule type="expression" dxfId="293" priority="11" stopIfTrue="1">
      <formula>(OR($G$67=$Q$133,$G$67=$Q$132,$G$67=$Q$130))</formula>
    </cfRule>
    <cfRule type="expression" dxfId="292" priority="12" stopIfTrue="1">
      <formula>$F$19=$Q$132</formula>
    </cfRule>
  </conditionalFormatting>
  <conditionalFormatting sqref="D76:D77">
    <cfRule type="expression" dxfId="291" priority="9" stopIfTrue="1">
      <formula>(OR($G$67=$Q$133,$G$67=$Q$132,$G$67=$Q$130))</formula>
    </cfRule>
    <cfRule type="expression" dxfId="290" priority="10" stopIfTrue="1">
      <formula>$F$19=$Q$132</formula>
    </cfRule>
  </conditionalFormatting>
  <conditionalFormatting sqref="E76:E77">
    <cfRule type="expression" dxfId="289" priority="7" stopIfTrue="1">
      <formula>(OR($G$67=$Q$133,$G$67=$Q$132,$G$67=$Q$130))</formula>
    </cfRule>
    <cfRule type="expression" dxfId="288" priority="8" stopIfTrue="1">
      <formula>$F$19=$Q$132</formula>
    </cfRule>
  </conditionalFormatting>
  <conditionalFormatting sqref="F76:F77">
    <cfRule type="expression" dxfId="287" priority="4" stopIfTrue="1">
      <formula>$F$19=$Q$132</formula>
    </cfRule>
    <cfRule type="expression" dxfId="286" priority="5" stopIfTrue="1">
      <formula>(OR($G$67=$Q$133,$G$67=$Q$132,$G$67=$Q$130))</formula>
    </cfRule>
    <cfRule type="expression" dxfId="285" priority="6" stopIfTrue="1">
      <formula>E76=$Q$132</formula>
    </cfRule>
  </conditionalFormatting>
  <conditionalFormatting sqref="G76:G77">
    <cfRule type="expression" dxfId="284" priority="1" stopIfTrue="1">
      <formula>(OR($G$67=$Q$133,$G$67=$Q$132,$G$67=$Q$130))</formula>
    </cfRule>
    <cfRule type="expression" dxfId="283" priority="2" stopIfTrue="1">
      <formula>$F$19=$Q$132</formula>
    </cfRule>
    <cfRule type="expression" dxfId="282" priority="3" stopIfTrue="1">
      <formula>E76=$Q$132</formula>
    </cfRule>
  </conditionalFormatting>
  <dataValidations xWindow="1317" yWindow="371" count="23">
    <dataValidation allowBlank="1" showInputMessage="1" showErrorMessage="1" prompt="Enter the relevant specification._x000a__x000a_Important: If component is not specified, leave cell blank i.e. empty of figure." sqref="D55:D57 D52:D53 D45:D49" xr:uid="{00000000-0002-0000-0900-000000000000}"/>
    <dataValidation type="list" allowBlank="1" showInputMessage="1" showErrorMessage="1" sqref="F102:F103 F70:F75" xr:uid="{00000000-0002-0000-0900-000001000000}">
      <formula1>$T$130:$T$230</formula1>
    </dataValidation>
    <dataValidation type="list" showInputMessage="1" showErrorMessage="1" prompt="Only include greywater collected from the washing machine for other uses e.g. toilet flushing/irrigation. Water re-used within the washing machine i.e. final rinse water used for the pre-wash of the next load should not be counted within this calculation." sqref="E77" xr:uid="{00000000-0002-0000-0900-000002000000}">
      <formula1>$Q$131:$Q$132</formula1>
    </dataValidation>
    <dataValidation type="list" showInputMessage="1" showErrorMessage="1" prompt="Only include greywater collected from the dishwasher for other uses e.g. toilet flushing/irrigation. Water re-used within the dishwasher i.e. final rinse water used for the pre-wash of the next load should not be counted within this calculation." sqref="E75" xr:uid="{00000000-0002-0000-0900-000003000000}">
      <formula1>$Q$131:$Q$132</formula1>
    </dataValidation>
    <dataValidation allowBlank="1" showInputMessage="1" showErrorMessage="1" prompt="If frequency of yield occurs every day, then state 1, if every 5 days then state 5 etc." sqref="E79" xr:uid="{00000000-0002-0000-0900-000004000000}"/>
    <dataValidation type="list" showInputMessage="1" showErrorMessage="1" sqref="G86 G67" xr:uid="{00000000-0002-0000-0900-000005000000}">
      <formula1>$Q$130:$Q$133</formula1>
    </dataValidation>
    <dataValidation type="list" showInputMessage="1" showErrorMessage="1" sqref="G88" xr:uid="{00000000-0002-0000-0900-000006000000}">
      <formula1>$S$130:$S$132</formula1>
    </dataValidation>
    <dataValidation allowBlank="1" showInputMessage="1" showErrorMessage="1" prompt="Insert the daily rainfall collected (and therefore used) in litres determined in accordance with BS8515 'Detailed Approach&quot;." sqref="F94" xr:uid="{00000000-0002-0000-0900-000007000000}"/>
    <dataValidation type="list" allowBlank="1" showInputMessage="1" showErrorMessage="1" sqref="F76:F77" xr:uid="{00000000-0002-0000-0900-000008000000}">
      <formula1>$Y$138:$Y$261</formula1>
    </dataValidation>
    <dataValidation type="list" showInputMessage="1" showErrorMessage="1" sqref="E102:E103 E70:E74 E76" xr:uid="{00000000-0002-0000-0900-000009000000}">
      <formula1>$Q$131:$Q$132</formula1>
    </dataValidation>
    <dataValidation type="list" showInputMessage="1" showErrorMessage="1" sqref="G107 F16:F25" xr:uid="{00000000-0002-0000-0900-00000A000000}">
      <formula1>$Q$130:$Q$132</formula1>
    </dataValidation>
    <dataValidation type="list" operator="lessThanOrEqual" allowBlank="1" showInputMessage="1" showErrorMessage="1" sqref="G110" xr:uid="{00000000-0002-0000-0900-00000B000000}">
      <formula1>$T$130:$T$230</formula1>
    </dataValidation>
    <dataValidation allowBlank="1" showInputMessage="1" showErrorMessage="1" prompt="Enter the effective flush volume for the WCs specified._x000a__x000a_Important: If component is not specified, leave cell blank i.e. empty of figure._x000a__x000a_Refer to the technical guide for a definition oof effective flush volume and how to calculate it." sqref="D30:D31" xr:uid="{00000000-0002-0000-0900-00000C000000}"/>
    <dataValidation allowBlank="1" showInputMessage="1" showErrorMessage="1" prompt="Enter the total number of cisterns specified (at specifed capacity) in building." sqref="E34" xr:uid="{00000000-0002-0000-0900-00000D000000}"/>
    <dataValidation allowBlank="1" showInputMessage="1" showErrorMessage="1" prompt="Enter the capacity (in litres) of the cistern specified for supplying water for urinal flushing purposes._x000a__x000a_Important: If component is not specified, leave cell blank i.e. empty of figure." sqref="D34" xr:uid="{00000000-0002-0000-0900-00000E000000}"/>
    <dataValidation allowBlank="1" showInputMessage="1" showErrorMessage="1" prompt="Enter the total number of urinal's in the building that use this type of flushing control_x000a__x000a_Where a urinal slab is specified, use a default of one urinal for each 700mm width of urinal slab." sqref="D35" xr:uid="{00000000-0002-0000-0900-00000F000000}"/>
    <dataValidation allowBlank="1" showInputMessage="1" showErrorMessage="1" prompt="Enter the total number of urinal's in the building that use this type of flushing control." sqref="D38" xr:uid="{00000000-0002-0000-0900-000010000000}"/>
    <dataValidation allowBlank="1" showInputMessage="1" showErrorMessage="1" prompt="Enter the total number of urinal's in the building that are classed as waterless urinals." sqref="D41" xr:uid="{00000000-0002-0000-0900-000011000000}"/>
    <dataValidation type="list" showInputMessage="1" showErrorMessage="1" sqref="B30" xr:uid="{00000000-0002-0000-0900-000012000000}">
      <formula1>$R$130:$R$132</formula1>
    </dataValidation>
    <dataValidation type="list" allowBlank="1" showInputMessage="1" showErrorMessage="1" sqref="D40" xr:uid="{00000000-0002-0000-0900-000013000000}">
      <formula1>$P$130:$P$132</formula1>
    </dataValidation>
    <dataValidation allowBlank="1" showInputMessage="1" showErrorMessage="1" prompt="Enter the litres per flush per bowl._x000a__x000a_Important: If component is not specified, leave cell blank i.e. empty of figure." sqref="D37" xr:uid="{00000000-0002-0000-0900-000014000000}"/>
    <dataValidation type="list" allowBlank="1" showInputMessage="1" showErrorMessage="1" sqref="B13" xr:uid="{00000000-0002-0000-0900-000015000000}">
      <formula1>$R$134:$R$138</formula1>
    </dataValidation>
    <dataValidation type="list" allowBlank="1" showInputMessage="1" showErrorMessage="1" sqref="C10:D10" xr:uid="{11A84A7A-3009-481B-9BD2-EA9EB179B01F}">
      <formula1>$R$122:$R$125</formula1>
    </dataValidation>
  </dataValidations>
  <pageMargins left="0.75" right="0.75" top="1" bottom="1" header="0.5" footer="0.5"/>
  <pageSetup paperSize="9" orientation="portrait" r:id="rId1"/>
  <headerFooter alignWithMargins="0"/>
  <ignoredErrors>
    <ignoredError sqref="C13 F13:G13" evalError="1"/>
  </ignoredError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
  <sheetViews>
    <sheetView workbookViewId="0">
      <selection activeCell="B64" sqref="B64:E64"/>
    </sheetView>
  </sheetViews>
  <sheetFormatPr defaultRowHeight="12.75" x14ac:dyDescent="0.2"/>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I248"/>
  <sheetViews>
    <sheetView zoomScaleNormal="100" workbookViewId="0">
      <pane ySplit="11" topLeftCell="A15" activePane="bottomLeft" state="frozen"/>
      <selection activeCell="M4" sqref="M4"/>
      <selection pane="bottomLeft" activeCell="B3" sqref="B3"/>
    </sheetView>
  </sheetViews>
  <sheetFormatPr defaultColWidth="0" defaultRowHeight="15" zeroHeight="1" x14ac:dyDescent="0.25"/>
  <cols>
    <col min="1" max="1" width="5.28515625" style="410" customWidth="1"/>
    <col min="2" max="2" width="10.85546875" style="410" customWidth="1"/>
    <col min="3" max="3" width="84.140625" style="472" customWidth="1"/>
    <col min="4" max="4" width="16.28515625" style="472" customWidth="1"/>
    <col min="5" max="7" width="15.7109375" style="437" customWidth="1"/>
    <col min="8" max="8" width="15.7109375" style="472" customWidth="1"/>
    <col min="9" max="9" width="16.28515625" style="437" customWidth="1"/>
    <col min="10" max="16" width="15.7109375" style="437" customWidth="1"/>
    <col min="17" max="17" width="15.5703125" style="412" customWidth="1"/>
    <col min="18" max="18" width="39.5703125" style="411" customWidth="1"/>
    <col min="19" max="19" width="50.85546875" style="410" customWidth="1"/>
    <col min="20" max="35" width="9.140625" style="410" customWidth="1"/>
    <col min="36" max="16384" width="9.140625" style="410" hidden="1"/>
  </cols>
  <sheetData>
    <row r="1" spans="1:27" ht="15" customHeight="1" x14ac:dyDescent="0.25">
      <c r="C1" s="410"/>
      <c r="D1" s="410"/>
      <c r="E1" s="411"/>
      <c r="F1" s="411"/>
      <c r="G1" s="411"/>
      <c r="H1" s="410"/>
      <c r="I1" s="411"/>
      <c r="J1" s="411"/>
      <c r="K1" s="411"/>
      <c r="L1" s="411"/>
      <c r="M1" s="411"/>
      <c r="N1" s="411"/>
      <c r="O1" s="411"/>
      <c r="P1" s="411"/>
    </row>
    <row r="2" spans="1:27" ht="36" customHeight="1" x14ac:dyDescent="0.25">
      <c r="B2" s="534" t="s">
        <v>1024</v>
      </c>
      <c r="C2" s="505"/>
      <c r="D2" s="505"/>
      <c r="E2" s="505"/>
      <c r="F2" s="505"/>
      <c r="G2" s="505"/>
      <c r="H2" s="534"/>
      <c r="I2" s="505"/>
      <c r="J2" s="505"/>
      <c r="K2" s="505"/>
      <c r="L2" s="505"/>
      <c r="M2" s="505"/>
      <c r="N2" s="534"/>
      <c r="O2" s="505"/>
      <c r="P2" s="411"/>
      <c r="Q2" s="410"/>
      <c r="R2" s="253"/>
    </row>
    <row r="3" spans="1:27" ht="21" customHeight="1" x14ac:dyDescent="0.25">
      <c r="C3" s="411"/>
      <c r="D3" s="411"/>
      <c r="E3" s="411"/>
      <c r="F3" s="411"/>
      <c r="G3" s="411"/>
      <c r="H3" s="411"/>
      <c r="I3" s="411"/>
      <c r="J3" s="411"/>
      <c r="K3" s="411"/>
      <c r="L3" s="411"/>
      <c r="M3" s="411"/>
      <c r="N3" s="411"/>
      <c r="O3" s="411"/>
      <c r="P3" s="411"/>
      <c r="Q3" s="253" t="s">
        <v>672</v>
      </c>
      <c r="R3" s="253"/>
    </row>
    <row r="4" spans="1:27" ht="20.100000000000001" customHeight="1" x14ac:dyDescent="0.25">
      <c r="C4" s="410"/>
      <c r="D4" s="410"/>
      <c r="E4" s="411"/>
      <c r="F4" s="411"/>
      <c r="G4" s="411"/>
      <c r="H4" s="410"/>
      <c r="I4" s="411"/>
      <c r="J4" s="411"/>
      <c r="K4" s="411"/>
      <c r="L4" s="411"/>
      <c r="M4" s="411"/>
      <c r="N4" s="411"/>
      <c r="O4" s="411"/>
      <c r="P4" s="411"/>
      <c r="Q4" s="254"/>
      <c r="R4" s="409" t="s">
        <v>673</v>
      </c>
      <c r="S4" s="172"/>
      <c r="T4" s="172"/>
      <c r="U4" s="144"/>
      <c r="V4" s="411"/>
      <c r="W4" s="411"/>
      <c r="X4" s="411"/>
      <c r="Y4" s="411"/>
    </row>
    <row r="5" spans="1:27" ht="20.100000000000001" customHeight="1" x14ac:dyDescent="0.25">
      <c r="A5" s="413" t="str">
        <f>IF(OR(Wat01_building_type="",Wat01_building_type=C145),"→","")</f>
        <v/>
      </c>
      <c r="B5" s="667" t="s">
        <v>689</v>
      </c>
      <c r="C5" s="668"/>
      <c r="D5" s="674" t="s">
        <v>997</v>
      </c>
      <c r="E5" s="675"/>
      <c r="F5" s="675"/>
      <c r="G5" s="676"/>
      <c r="H5" s="582" t="s">
        <v>861</v>
      </c>
      <c r="I5" s="570"/>
      <c r="J5" s="570"/>
      <c r="K5" s="570"/>
      <c r="L5" s="672"/>
      <c r="M5" s="672"/>
      <c r="N5" s="672"/>
      <c r="O5" s="672"/>
      <c r="P5" s="414" t="str">
        <f>IF(AND(L5="",OR(Wat01_building_type=C157,Wat01_building_type=C156)),"←","")</f>
        <v/>
      </c>
      <c r="Q5" s="255"/>
      <c r="R5" s="409" t="s">
        <v>674</v>
      </c>
      <c r="S5" s="172"/>
      <c r="T5" s="172"/>
      <c r="U5" s="144"/>
      <c r="V5" s="411"/>
      <c r="W5" s="411"/>
      <c r="X5" s="411"/>
      <c r="Y5" s="411"/>
      <c r="Z5" s="415"/>
      <c r="AA5" s="416"/>
    </row>
    <row r="6" spans="1:27" ht="5.0999999999999996" customHeight="1" x14ac:dyDescent="0.25">
      <c r="A6" s="413"/>
      <c r="B6" s="407"/>
      <c r="C6" s="407"/>
      <c r="D6" s="568"/>
      <c r="E6" s="568"/>
      <c r="F6" s="568"/>
      <c r="G6" s="568"/>
      <c r="H6" s="569"/>
      <c r="I6" s="570"/>
      <c r="J6" s="570"/>
      <c r="K6" s="570"/>
      <c r="L6" s="417"/>
      <c r="M6" s="417"/>
      <c r="N6" s="417"/>
      <c r="O6" s="417"/>
      <c r="P6" s="414"/>
      <c r="Q6" s="255"/>
      <c r="R6" s="409"/>
      <c r="S6" s="172"/>
      <c r="T6" s="172"/>
      <c r="U6" s="144"/>
      <c r="V6" s="411"/>
      <c r="W6" s="411"/>
      <c r="X6" s="411"/>
      <c r="Y6" s="411"/>
      <c r="Z6" s="415"/>
      <c r="AA6" s="416"/>
    </row>
    <row r="7" spans="1:27" ht="20.100000000000001" customHeight="1" x14ac:dyDescent="0.25">
      <c r="A7" s="413"/>
      <c r="B7" s="407"/>
      <c r="C7" s="563" t="s">
        <v>961</v>
      </c>
      <c r="D7" s="664" t="s">
        <v>654</v>
      </c>
      <c r="E7" s="665"/>
      <c r="F7" s="665"/>
      <c r="G7" s="666"/>
      <c r="H7" s="569"/>
      <c r="I7" s="570"/>
      <c r="J7" s="570"/>
      <c r="K7" s="570"/>
      <c r="L7" s="417"/>
      <c r="M7" s="417"/>
      <c r="N7" s="417"/>
      <c r="O7" s="417"/>
      <c r="P7" s="414"/>
      <c r="Q7" s="255"/>
      <c r="R7" s="409"/>
      <c r="S7" s="172"/>
      <c r="T7" s="172"/>
      <c r="U7" s="144"/>
      <c r="V7" s="411"/>
      <c r="W7" s="411"/>
      <c r="X7" s="411"/>
      <c r="Y7" s="411"/>
      <c r="Z7" s="415"/>
      <c r="AA7" s="416"/>
    </row>
    <row r="8" spans="1:27" ht="5.0999999999999996" customHeight="1" x14ac:dyDescent="0.25">
      <c r="A8" s="413"/>
      <c r="B8" s="407"/>
      <c r="C8" s="407"/>
      <c r="D8" s="568"/>
      <c r="E8" s="568"/>
      <c r="F8" s="568"/>
      <c r="G8" s="568"/>
      <c r="H8" s="569"/>
      <c r="I8" s="570"/>
      <c r="J8" s="570"/>
      <c r="K8" s="570"/>
      <c r="L8" s="417"/>
      <c r="M8" s="417"/>
      <c r="N8" s="417"/>
      <c r="O8" s="417"/>
      <c r="P8" s="414"/>
      <c r="Q8" s="255"/>
      <c r="R8" s="409"/>
      <c r="S8" s="172"/>
      <c r="T8" s="172"/>
      <c r="U8" s="144"/>
      <c r="V8" s="411"/>
      <c r="W8" s="411"/>
      <c r="X8" s="411"/>
      <c r="Y8" s="411"/>
      <c r="Z8" s="415"/>
      <c r="AA8" s="416"/>
    </row>
    <row r="9" spans="1:27" ht="20.100000000000001" customHeight="1" x14ac:dyDescent="0.25">
      <c r="B9" s="413" t="str">
        <f>IF(AND(Wat01_building_type=C157,OR(D9=$G$124,D9="")),"→","")</f>
        <v/>
      </c>
      <c r="C9" s="562" t="s">
        <v>874</v>
      </c>
      <c r="D9" s="578"/>
      <c r="E9" s="561" t="s">
        <v>866</v>
      </c>
      <c r="F9" s="561"/>
      <c r="G9" s="561"/>
      <c r="H9" s="577"/>
      <c r="I9" s="414" t="str">
        <f>IF(AND(Wat01_building_type=C157,H9=""),"←","")</f>
        <v/>
      </c>
      <c r="J9" s="417"/>
      <c r="K9" s="418"/>
      <c r="L9" s="417"/>
      <c r="M9" s="417"/>
      <c r="N9" s="417"/>
      <c r="O9" s="417"/>
      <c r="P9" s="411"/>
      <c r="Q9" s="256"/>
      <c r="R9" s="409" t="str">
        <f>'Office calculator'!J7</f>
        <v>Cells that are dark grey are user input cells which are not applicable due to either building type or user input/option selection or default setting. Note these cells can change to ones requiring user input depending on the users option selection in other cells.</v>
      </c>
      <c r="S9" s="172"/>
      <c r="T9" s="172"/>
      <c r="U9" s="144"/>
      <c r="V9" s="411"/>
      <c r="W9" s="411"/>
      <c r="X9" s="411"/>
      <c r="Y9" s="411"/>
      <c r="Z9" s="415"/>
      <c r="AA9" s="416"/>
    </row>
    <row r="10" spans="1:27" ht="20.100000000000001" customHeight="1" x14ac:dyDescent="0.25">
      <c r="B10" s="413" t="str">
        <f>IF(AND(Wat01_building_type=C157,OR(D10=$G$124,D10="")),"→","")</f>
        <v/>
      </c>
      <c r="C10" s="562" t="s">
        <v>906</v>
      </c>
      <c r="D10" s="578"/>
      <c r="E10" s="419"/>
      <c r="F10" s="419"/>
      <c r="G10" s="410"/>
      <c r="H10" s="420"/>
      <c r="I10" s="417"/>
      <c r="J10" s="417"/>
      <c r="K10" s="418"/>
      <c r="L10" s="417"/>
      <c r="M10" s="417"/>
      <c r="N10" s="417"/>
      <c r="O10" s="417"/>
      <c r="P10" s="411"/>
      <c r="Q10" s="345" t="s">
        <v>759</v>
      </c>
      <c r="R10" s="633" t="s">
        <v>888</v>
      </c>
      <c r="S10" s="633"/>
      <c r="T10" s="633"/>
      <c r="U10" s="633"/>
      <c r="V10" s="633"/>
      <c r="W10" s="633"/>
      <c r="X10" s="633"/>
      <c r="Y10" s="411"/>
      <c r="Z10" s="415"/>
      <c r="AA10" s="416"/>
    </row>
    <row r="11" spans="1:27" ht="19.5" customHeight="1" x14ac:dyDescent="0.25">
      <c r="C11" s="410"/>
      <c r="D11" s="410"/>
      <c r="E11" s="411"/>
      <c r="F11" s="411"/>
      <c r="G11" s="411"/>
      <c r="H11" s="421"/>
      <c r="I11" s="411"/>
      <c r="J11" s="411"/>
      <c r="K11" s="411"/>
      <c r="L11" s="411"/>
      <c r="M11" s="411"/>
      <c r="N11" s="411"/>
      <c r="O11" s="411"/>
      <c r="P11" s="411"/>
      <c r="R11" s="633"/>
      <c r="S11" s="633"/>
      <c r="T11" s="633"/>
      <c r="U11" s="633"/>
      <c r="V11" s="633"/>
      <c r="W11" s="633"/>
      <c r="X11" s="633"/>
      <c r="Y11" s="411"/>
      <c r="Z11" s="411"/>
      <c r="AA11" s="416"/>
    </row>
    <row r="12" spans="1:27" ht="28.5" customHeight="1" x14ac:dyDescent="0.25">
      <c r="B12" s="534" t="s">
        <v>1002</v>
      </c>
      <c r="C12" s="516"/>
      <c r="D12" s="516"/>
      <c r="E12" s="516"/>
      <c r="F12" s="516"/>
      <c r="G12" s="516"/>
      <c r="H12" s="516"/>
      <c r="I12" s="516"/>
      <c r="J12" s="516"/>
      <c r="K12" s="516"/>
      <c r="L12" s="516"/>
      <c r="M12" s="516"/>
      <c r="N12" s="516"/>
      <c r="O12" s="516"/>
      <c r="P12" s="411"/>
      <c r="Q12" s="117"/>
      <c r="R12" s="408"/>
      <c r="S12" s="408"/>
      <c r="T12" s="408"/>
      <c r="U12" s="408"/>
      <c r="V12" s="411"/>
      <c r="W12" s="411"/>
      <c r="X12" s="411"/>
      <c r="Y12" s="411"/>
      <c r="Z12" s="411"/>
      <c r="AA12" s="416"/>
    </row>
    <row r="13" spans="1:27" ht="24.95" customHeight="1" x14ac:dyDescent="0.25">
      <c r="C13" s="410"/>
      <c r="D13" s="410"/>
      <c r="E13" s="411"/>
      <c r="F13" s="411"/>
      <c r="G13" s="411"/>
      <c r="H13" s="410"/>
      <c r="I13" s="411"/>
      <c r="J13" s="411"/>
      <c r="K13" s="411"/>
      <c r="L13" s="411"/>
      <c r="M13" s="411"/>
      <c r="N13" s="411"/>
      <c r="O13" s="411"/>
      <c r="P13" s="411"/>
      <c r="Q13" s="144"/>
      <c r="R13" s="408"/>
      <c r="S13" s="408"/>
      <c r="T13" s="408"/>
      <c r="U13" s="408"/>
      <c r="V13" s="411"/>
      <c r="W13" s="411"/>
      <c r="X13" s="411"/>
      <c r="Y13" s="411"/>
      <c r="Z13" s="411"/>
      <c r="AA13" s="416"/>
    </row>
    <row r="14" spans="1:27" ht="60" x14ac:dyDescent="0.25">
      <c r="C14" s="410"/>
      <c r="D14" s="551" t="s">
        <v>637</v>
      </c>
      <c r="E14" s="552" t="s">
        <v>277</v>
      </c>
      <c r="F14" s="552" t="s">
        <v>392</v>
      </c>
      <c r="G14" s="552" t="s">
        <v>397</v>
      </c>
      <c r="H14" s="552" t="s">
        <v>624</v>
      </c>
      <c r="I14" s="552" t="s">
        <v>907</v>
      </c>
      <c r="J14" s="552" t="s">
        <v>633</v>
      </c>
      <c r="K14" s="552" t="s">
        <v>634</v>
      </c>
      <c r="L14" s="552" t="s">
        <v>638</v>
      </c>
      <c r="M14" s="552" t="s">
        <v>851</v>
      </c>
      <c r="N14" s="552" t="s">
        <v>636</v>
      </c>
      <c r="O14" s="551" t="s">
        <v>679</v>
      </c>
      <c r="P14" s="411"/>
      <c r="R14" s="410"/>
      <c r="X14" s="411"/>
      <c r="Y14" s="411"/>
      <c r="Z14" s="411"/>
      <c r="AA14" s="416"/>
    </row>
    <row r="15" spans="1:27" ht="15" customHeight="1" x14ac:dyDescent="0.25">
      <c r="B15" s="647" t="s">
        <v>873</v>
      </c>
      <c r="C15" s="647"/>
      <c r="D15" s="406" t="str">
        <f>IF(D111="Applicable","Yes","No")</f>
        <v>No</v>
      </c>
      <c r="E15" s="406" t="str">
        <f>IF(OR(Wat01_building_type=C169,Wat01_building_type=C168),IF(D9=G130,G130,IF(D9=G131,G131)),IF(E111="Applicable",G125,G126))</f>
        <v>No</v>
      </c>
      <c r="F15" s="406" t="str">
        <f t="shared" ref="F15:O15" si="0">IF(F111="Applicable","Yes","No")</f>
        <v>No</v>
      </c>
      <c r="G15" s="406" t="str">
        <f t="shared" si="0"/>
        <v>No</v>
      </c>
      <c r="H15" s="406" t="str">
        <f>IF(H111="Applicable","Yes","No")</f>
        <v>No</v>
      </c>
      <c r="I15" s="406" t="str">
        <f t="shared" si="0"/>
        <v>No</v>
      </c>
      <c r="J15" s="406" t="str">
        <f t="shared" si="0"/>
        <v>No</v>
      </c>
      <c r="K15" s="406" t="str">
        <f t="shared" si="0"/>
        <v>No</v>
      </c>
      <c r="L15" s="406" t="str">
        <f t="shared" si="0"/>
        <v>No</v>
      </c>
      <c r="M15" s="406" t="str">
        <f t="shared" si="0"/>
        <v>No</v>
      </c>
      <c r="N15" s="406" t="str">
        <f t="shared" si="0"/>
        <v>No</v>
      </c>
      <c r="O15" s="406" t="str">
        <f t="shared" si="0"/>
        <v>No</v>
      </c>
      <c r="P15" s="673" t="s">
        <v>887</v>
      </c>
      <c r="Q15" s="673"/>
      <c r="R15" s="673"/>
      <c r="S15" s="673"/>
      <c r="T15" s="673"/>
      <c r="X15" s="411"/>
      <c r="Y15" s="411"/>
      <c r="Z15" s="411"/>
      <c r="AA15" s="416"/>
    </row>
    <row r="16" spans="1:27" ht="15" customHeight="1" x14ac:dyDescent="0.25">
      <c r="B16" s="647" t="s">
        <v>870</v>
      </c>
      <c r="C16" s="647"/>
      <c r="D16" s="474" t="s">
        <v>654</v>
      </c>
      <c r="E16" s="474" t="s">
        <v>654</v>
      </c>
      <c r="F16" s="474" t="s">
        <v>654</v>
      </c>
      <c r="G16" s="474" t="s">
        <v>654</v>
      </c>
      <c r="H16" s="474" t="s">
        <v>872</v>
      </c>
      <c r="I16" s="474" t="s">
        <v>654</v>
      </c>
      <c r="J16" s="474" t="s">
        <v>872</v>
      </c>
      <c r="K16" s="474" t="s">
        <v>654</v>
      </c>
      <c r="L16" s="474" t="s">
        <v>654</v>
      </c>
      <c r="M16" s="474" t="s">
        <v>654</v>
      </c>
      <c r="N16" s="474" t="s">
        <v>654</v>
      </c>
      <c r="O16" s="474" t="s">
        <v>872</v>
      </c>
      <c r="P16" s="673"/>
      <c r="Q16" s="673"/>
      <c r="R16" s="673"/>
      <c r="S16" s="673"/>
      <c r="T16" s="673"/>
      <c r="X16" s="411"/>
      <c r="Y16" s="411"/>
      <c r="Z16" s="411"/>
      <c r="AA16" s="416"/>
    </row>
    <row r="17" spans="2:27" ht="15" customHeight="1" x14ac:dyDescent="0.25">
      <c r="B17" s="647" t="s">
        <v>867</v>
      </c>
      <c r="C17" s="647"/>
      <c r="D17" s="475" t="s">
        <v>654</v>
      </c>
      <c r="E17" s="475" t="s">
        <v>654</v>
      </c>
      <c r="F17" s="475" t="s">
        <v>654</v>
      </c>
      <c r="G17" s="475" t="s">
        <v>654</v>
      </c>
      <c r="H17" s="475"/>
      <c r="I17" s="475" t="s">
        <v>654</v>
      </c>
      <c r="J17" s="475" t="s">
        <v>654</v>
      </c>
      <c r="K17" s="475" t="s">
        <v>654</v>
      </c>
      <c r="L17" s="475" t="s">
        <v>654</v>
      </c>
      <c r="M17" s="475" t="s">
        <v>654</v>
      </c>
      <c r="N17" s="475" t="s">
        <v>654</v>
      </c>
      <c r="O17" s="475" t="s">
        <v>654</v>
      </c>
      <c r="P17" s="673"/>
      <c r="Q17" s="673"/>
      <c r="R17" s="673"/>
      <c r="S17" s="673"/>
      <c r="T17" s="673"/>
      <c r="X17" s="411"/>
      <c r="Y17" s="411"/>
      <c r="Z17" s="411"/>
      <c r="AA17" s="416"/>
    </row>
    <row r="18" spans="2:27" ht="20.100000000000001" customHeight="1" x14ac:dyDescent="0.25">
      <c r="C18" s="424"/>
      <c r="D18" s="428" t="str">
        <f>IF(D16=$G$136,"",IF(AND(D15=$G$125,OR(D16=$G$124,D17=$G$124)),"↑",""))</f>
        <v/>
      </c>
      <c r="E18" s="428" t="str">
        <f t="shared" ref="E18:O18" si="1">IF(E16=$G$136,"",IF(AND(E15=$G$125,OR(E16=$G$124,E17=$G$124)),"↑",""))</f>
        <v/>
      </c>
      <c r="F18" s="428" t="str">
        <f t="shared" si="1"/>
        <v/>
      </c>
      <c r="G18" s="428" t="str">
        <f t="shared" si="1"/>
        <v/>
      </c>
      <c r="H18" s="428" t="str">
        <f t="shared" si="1"/>
        <v/>
      </c>
      <c r="I18" s="428" t="str">
        <f t="shared" si="1"/>
        <v/>
      </c>
      <c r="J18" s="428" t="str">
        <f t="shared" si="1"/>
        <v/>
      </c>
      <c r="K18" s="428" t="str">
        <f t="shared" si="1"/>
        <v/>
      </c>
      <c r="L18" s="428" t="str">
        <f t="shared" si="1"/>
        <v/>
      </c>
      <c r="M18" s="428" t="str">
        <f t="shared" si="1"/>
        <v/>
      </c>
      <c r="N18" s="428" t="str">
        <f t="shared" si="1"/>
        <v/>
      </c>
      <c r="O18" s="428" t="str">
        <f t="shared" si="1"/>
        <v/>
      </c>
      <c r="P18" s="673"/>
      <c r="Q18" s="673"/>
      <c r="R18" s="673"/>
      <c r="S18" s="673"/>
      <c r="T18" s="673"/>
      <c r="X18" s="411"/>
      <c r="Y18" s="411"/>
      <c r="Z18" s="411"/>
      <c r="AA18" s="416"/>
    </row>
    <row r="19" spans="2:27" ht="15" customHeight="1" x14ac:dyDescent="0.25">
      <c r="B19" s="669" t="s">
        <v>889</v>
      </c>
      <c r="C19" s="553" t="s">
        <v>878</v>
      </c>
      <c r="D19" s="476"/>
      <c r="E19" s="476"/>
      <c r="F19" s="476"/>
      <c r="G19" s="476"/>
      <c r="H19" s="476" t="s">
        <v>654</v>
      </c>
      <c r="I19" s="476" t="s">
        <v>654</v>
      </c>
      <c r="J19" s="476" t="s">
        <v>654</v>
      </c>
      <c r="K19" s="476" t="s">
        <v>654</v>
      </c>
      <c r="L19" s="476" t="s">
        <v>654</v>
      </c>
      <c r="M19" s="476" t="s">
        <v>654</v>
      </c>
      <c r="N19" s="476" t="s">
        <v>654</v>
      </c>
      <c r="O19" s="476" t="s">
        <v>654</v>
      </c>
      <c r="P19" s="673"/>
      <c r="Q19" s="673"/>
      <c r="R19" s="673"/>
      <c r="S19" s="673"/>
      <c r="T19" s="673"/>
      <c r="X19" s="411"/>
      <c r="Y19" s="411"/>
      <c r="Z19" s="411"/>
    </row>
    <row r="20" spans="2:27" ht="15" customHeight="1" x14ac:dyDescent="0.25">
      <c r="B20" s="670"/>
      <c r="C20" s="553" t="s">
        <v>879</v>
      </c>
      <c r="D20" s="476"/>
      <c r="E20" s="476"/>
      <c r="F20" s="476"/>
      <c r="G20" s="476"/>
      <c r="H20" s="476"/>
      <c r="I20" s="476"/>
      <c r="J20" s="476"/>
      <c r="K20" s="476"/>
      <c r="L20" s="476"/>
      <c r="M20" s="476"/>
      <c r="N20" s="476"/>
      <c r="O20" s="476"/>
      <c r="P20" s="673"/>
      <c r="Q20" s="673"/>
      <c r="R20" s="673"/>
      <c r="S20" s="673"/>
      <c r="T20" s="673"/>
      <c r="X20" s="411"/>
      <c r="Y20" s="411"/>
      <c r="Z20" s="411"/>
    </row>
    <row r="21" spans="2:27" ht="15" customHeight="1" x14ac:dyDescent="0.25">
      <c r="B21" s="671"/>
      <c r="C21" s="553" t="s">
        <v>719</v>
      </c>
      <c r="D21" s="422">
        <f>IF(D19=$G$124,"-",IF(D17=$C$128,D19,IF(OR(D19=Wat01_option01,D19=Wat01_option02,D19=""),0,(D20/$D$51)*D19)))</f>
        <v>0</v>
      </c>
      <c r="E21" s="422">
        <f>IF(E19=$G$124,"-",IF(E17=$C$128,E19,IF(OR(E19=Wat01_option01,E19=Wat01_option02,E19=""),0,(E20/$E$51)*E19)))</f>
        <v>0</v>
      </c>
      <c r="F21" s="422">
        <f>IF(F19=$G$124,"-",IF(F17=$C$128,F19,IF(OR(F19=Wat01_option01,F19=Wat01_option02,F19=""),0,(F20/$F$51)*F19)))</f>
        <v>0</v>
      </c>
      <c r="G21" s="422">
        <f>IF(G19=$G$124,"-",IF(G17=$C$128,G19,IF(OR(G19=Wat01_option01,G19=Wat01_option02,G19=""),0,(G20/$G$51)*G19)))</f>
        <v>0</v>
      </c>
      <c r="H21" s="422" t="str">
        <f>IF(H19=$G$124,"-",IF(H17=$C$128,H19,IF(OR(H19=Wat01_option01,H19=Wat01_option02,H19=""),0,(H20/$H$51)*H19)))</f>
        <v>-</v>
      </c>
      <c r="I21" s="422" t="str">
        <f>IF(I19=$G$124,"-",IF(I17=$C$128,I19,IF(OR(I19=Wat01_option01,I19=Wat01_option02,I19=""),0,(I20/$I$51)*I19)))</f>
        <v>-</v>
      </c>
      <c r="J21" s="422" t="str">
        <f>IF(J19=$G$124,"-",IF(J17=$C$128,J19,IF(OR(J19=Wat01_option01,J19=Wat01_option02,J19=""),0,(J20/$J$51)*J19)))</f>
        <v>-</v>
      </c>
      <c r="K21" s="422" t="str">
        <f>IF(K19=$G$124,"-",IF(K17=$C$128,K19,IF(OR(K19=Wat01_option01,K19=Wat01_option02,K19=""),0,(K20/$K$51)*K19)))</f>
        <v>-</v>
      </c>
      <c r="L21" s="422" t="str">
        <f>IF(L19=$G$124,"-",IF(L17=$C$128,L19,IF(OR(L19=Wat01_option01,L19=Wat01_option02,L19=""),0,(L20/$L$51)*L19)))</f>
        <v>-</v>
      </c>
      <c r="M21" s="422" t="str">
        <f>IF(M19=$G$124,"-",IF(M17=$C$128,M19,IF(OR(M19=Wat01_option01,M19=Wat01_option02,M19=""),0,(M20/$M$51)*M19)))</f>
        <v>-</v>
      </c>
      <c r="N21" s="422" t="str">
        <f>IF(N19=$G$124,"-",IF(N17=$C$128,N19,IF(OR(N19=Wat01_option01,N19=Wat01_option02,N19=""),0,(N20/$N$51)*N19)))</f>
        <v>-</v>
      </c>
      <c r="O21" s="422" t="str">
        <f>IF(O19=$G$124,"-",IF(O17=$C$128,O19,IF(OR(O19=Wat01_option01,O19=Wat01_option02,O19=""),0,(O20/$O$51)*O19)))</f>
        <v>-</v>
      </c>
      <c r="P21" s="673"/>
      <c r="Q21" s="673"/>
      <c r="R21" s="673"/>
      <c r="S21" s="673"/>
      <c r="T21" s="673"/>
      <c r="X21" s="411"/>
      <c r="Y21" s="411"/>
      <c r="Z21" s="411"/>
    </row>
    <row r="22" spans="2:27" ht="20.100000000000001" customHeight="1" x14ac:dyDescent="0.25">
      <c r="C22" s="423"/>
      <c r="D22" s="428" t="str">
        <f>IF(OR(D$15=$G$126,D$16=$G$136),"",IF(D19=$G$124,"↑",IF(AND(D$17&gt;1,OR(D19=$G$124,D20="")),"↑","")))</f>
        <v/>
      </c>
      <c r="E22" s="428" t="str">
        <f>IF(OR(E15=$G$126,E16=$G$136),"",IF(E19=$G$124,"↑",IF(AND(E17&gt;1,OR(E19=$G$124,E20="")),"↑","")))</f>
        <v/>
      </c>
      <c r="F22" s="428" t="str">
        <f t="shared" ref="F22:O22" si="2">IF(OR(F15=$G$126,F16=$G$136),"",IF(F19=$G$124,"↑",IF(AND(F17&gt;1,OR(F19=$G$124,F20="")),"↑","")))</f>
        <v/>
      </c>
      <c r="G22" s="428" t="str">
        <f t="shared" si="2"/>
        <v/>
      </c>
      <c r="H22" s="428" t="str">
        <f t="shared" si="2"/>
        <v/>
      </c>
      <c r="I22" s="428" t="str">
        <f t="shared" si="2"/>
        <v/>
      </c>
      <c r="J22" s="428" t="str">
        <f t="shared" si="2"/>
        <v/>
      </c>
      <c r="K22" s="428" t="str">
        <f t="shared" si="2"/>
        <v/>
      </c>
      <c r="L22" s="428" t="str">
        <f t="shared" si="2"/>
        <v/>
      </c>
      <c r="M22" s="428" t="str">
        <f t="shared" si="2"/>
        <v/>
      </c>
      <c r="N22" s="428" t="str">
        <f t="shared" si="2"/>
        <v/>
      </c>
      <c r="O22" s="428" t="str">
        <f t="shared" si="2"/>
        <v/>
      </c>
      <c r="P22" s="673"/>
      <c r="Q22" s="673"/>
      <c r="R22" s="673"/>
      <c r="S22" s="673"/>
      <c r="T22" s="673"/>
      <c r="X22" s="411"/>
      <c r="Y22" s="411"/>
      <c r="Z22" s="411"/>
    </row>
    <row r="23" spans="2:27" ht="15" customHeight="1" x14ac:dyDescent="0.25">
      <c r="B23" s="669" t="s">
        <v>890</v>
      </c>
      <c r="C23" s="553" t="s">
        <v>886</v>
      </c>
      <c r="D23" s="476"/>
      <c r="E23" s="476" t="s">
        <v>654</v>
      </c>
      <c r="F23" s="476" t="s">
        <v>654</v>
      </c>
      <c r="G23" s="476" t="s">
        <v>654</v>
      </c>
      <c r="H23" s="476" t="s">
        <v>654</v>
      </c>
      <c r="I23" s="476" t="s">
        <v>654</v>
      </c>
      <c r="J23" s="476" t="s">
        <v>654</v>
      </c>
      <c r="K23" s="476" t="s">
        <v>654</v>
      </c>
      <c r="L23" s="476" t="s">
        <v>654</v>
      </c>
      <c r="M23" s="476" t="s">
        <v>654</v>
      </c>
      <c r="N23" s="476" t="s">
        <v>654</v>
      </c>
      <c r="O23" s="476" t="s">
        <v>654</v>
      </c>
      <c r="P23" s="673"/>
      <c r="Q23" s="673"/>
      <c r="R23" s="673"/>
      <c r="S23" s="673"/>
      <c r="T23" s="673"/>
      <c r="X23" s="411"/>
      <c r="Y23" s="411"/>
      <c r="Z23" s="411"/>
    </row>
    <row r="24" spans="2:27" ht="15" customHeight="1" x14ac:dyDescent="0.25">
      <c r="B24" s="670"/>
      <c r="C24" s="553" t="s">
        <v>968</v>
      </c>
      <c r="D24" s="476"/>
      <c r="E24" s="476"/>
      <c r="F24" s="476"/>
      <c r="G24" s="476"/>
      <c r="H24" s="476"/>
      <c r="I24" s="476"/>
      <c r="J24" s="476"/>
      <c r="K24" s="476"/>
      <c r="L24" s="476"/>
      <c r="M24" s="476"/>
      <c r="N24" s="476"/>
      <c r="O24" s="476"/>
      <c r="P24" s="673"/>
      <c r="Q24" s="673"/>
      <c r="R24" s="673"/>
      <c r="S24" s="673"/>
      <c r="T24" s="673"/>
      <c r="X24" s="411"/>
      <c r="Y24" s="411"/>
    </row>
    <row r="25" spans="2:27" ht="15" customHeight="1" x14ac:dyDescent="0.25">
      <c r="B25" s="671"/>
      <c r="C25" s="553" t="s">
        <v>718</v>
      </c>
      <c r="D25" s="422">
        <f>IF(OR(D23=Wat01_option01,D23=Wat01_option02,D23=""),0,(D24/$D$51)*D23)</f>
        <v>0</v>
      </c>
      <c r="E25" s="422" t="e">
        <f>IF(OR(E23=Wat01_option01,E23=Wat01_option02,E23=""),0,(E24/$E$51)*E23)</f>
        <v>#VALUE!</v>
      </c>
      <c r="F25" s="422" t="e">
        <f>IF(OR(F23=Wat01_option01,F23=Wat01_option02,F23=""),0,(F24/$F$51)*F23)</f>
        <v>#VALUE!</v>
      </c>
      <c r="G25" s="422" t="e">
        <f>IF(OR(G23=Wat01_option01,G23=Wat01_option02,G23=""),0,(G24/$G$51)*G23)</f>
        <v>#VALUE!</v>
      </c>
      <c r="H25" s="422" t="e">
        <f>IF(OR(H23=Wat01_option01,H23=Wat01_option02,H23=""),0,(H24/$H$51)*H23)</f>
        <v>#VALUE!</v>
      </c>
      <c r="I25" s="422" t="e">
        <f>IF(OR(I23=Wat01_option01,I23=Wat01_option02,I23=""),0,(I24/$I$51)*I23)</f>
        <v>#VALUE!</v>
      </c>
      <c r="J25" s="422" t="e">
        <f>IF(OR(J23=Wat01_option01,J23=Wat01_option02,J23=""),0,(J24/$J$51)*J23)</f>
        <v>#VALUE!</v>
      </c>
      <c r="K25" s="422" t="e">
        <f>IF(OR(K23=Wat01_option01,K23=Wat01_option02,K23=""),0,(K24/$K$51)*K23)</f>
        <v>#VALUE!</v>
      </c>
      <c r="L25" s="422" t="e">
        <f>IF(OR(L23=Wat01_option01,L23=Wat01_option02,L23=""),0,(L24/$L$51)*L23)</f>
        <v>#VALUE!</v>
      </c>
      <c r="M25" s="422" t="e">
        <f>IF(OR(M23=Wat01_option01,M23=Wat01_option02,M23=""),0,(M24/$M$51)*M23)</f>
        <v>#VALUE!</v>
      </c>
      <c r="N25" s="422" t="e">
        <f>IF(OR(N23=Wat01_option01,N23=Wat01_option02,N23=""),0,(N24/$N$51)*N23)</f>
        <v>#VALUE!</v>
      </c>
      <c r="O25" s="422" t="e">
        <f>IF(OR(O23=Wat01_option01,O23=Wat01_option02,O23=""),0,(O24/$O$51)*O23)</f>
        <v>#VALUE!</v>
      </c>
      <c r="P25" s="673"/>
      <c r="Q25" s="673"/>
      <c r="R25" s="673"/>
      <c r="S25" s="673"/>
      <c r="T25" s="673"/>
      <c r="X25" s="411"/>
      <c r="Y25" s="411"/>
    </row>
    <row r="26" spans="2:27" ht="20.100000000000001" customHeight="1" x14ac:dyDescent="0.25">
      <c r="C26" s="424"/>
      <c r="D26" s="428" t="str">
        <f>IF(OR(D$15=$G$126,D$16=$G$136),"",IF(AND(D$17&gt;1,OR(D23=$G$124,D24="")),"↑",""))</f>
        <v/>
      </c>
      <c r="E26" s="428" t="str">
        <f t="shared" ref="E26:O26" si="3">IF(OR(E$15=$G$126,E$16=$G$136),"",IF(AND(E$17&gt;1,OR(E23=$G$124,E24="")),"↑",""))</f>
        <v/>
      </c>
      <c r="F26" s="428" t="str">
        <f t="shared" si="3"/>
        <v/>
      </c>
      <c r="G26" s="428" t="str">
        <f t="shared" si="3"/>
        <v/>
      </c>
      <c r="H26" s="428" t="str">
        <f t="shared" si="3"/>
        <v/>
      </c>
      <c r="I26" s="428" t="str">
        <f t="shared" si="3"/>
        <v/>
      </c>
      <c r="J26" s="428" t="str">
        <f t="shared" si="3"/>
        <v/>
      </c>
      <c r="K26" s="428" t="str">
        <f t="shared" si="3"/>
        <v/>
      </c>
      <c r="L26" s="428" t="str">
        <f t="shared" si="3"/>
        <v/>
      </c>
      <c r="M26" s="428" t="str">
        <f t="shared" si="3"/>
        <v/>
      </c>
      <c r="N26" s="428" t="str">
        <f>IF(OR(N$15=$G$126,N$16=$G$136),"",IF(AND(N$17&gt;1,OR(N23=$G$124,N24="")),"↑",""))</f>
        <v/>
      </c>
      <c r="O26" s="428" t="str">
        <f t="shared" si="3"/>
        <v/>
      </c>
      <c r="P26" s="411"/>
      <c r="R26" s="410"/>
      <c r="X26" s="411"/>
      <c r="Y26" s="411"/>
      <c r="Z26" s="411"/>
    </row>
    <row r="27" spans="2:27" ht="15" customHeight="1" x14ac:dyDescent="0.25">
      <c r="B27" s="669" t="s">
        <v>891</v>
      </c>
      <c r="C27" s="553" t="s">
        <v>885</v>
      </c>
      <c r="D27" s="476" t="s">
        <v>654</v>
      </c>
      <c r="E27" s="476" t="s">
        <v>654</v>
      </c>
      <c r="F27" s="476" t="s">
        <v>654</v>
      </c>
      <c r="G27" s="476" t="s">
        <v>654</v>
      </c>
      <c r="H27" s="476" t="s">
        <v>654</v>
      </c>
      <c r="I27" s="476" t="s">
        <v>654</v>
      </c>
      <c r="J27" s="476" t="s">
        <v>654</v>
      </c>
      <c r="K27" s="476" t="s">
        <v>654</v>
      </c>
      <c r="L27" s="476" t="s">
        <v>654</v>
      </c>
      <c r="M27" s="476" t="s">
        <v>654</v>
      </c>
      <c r="N27" s="476" t="s">
        <v>654</v>
      </c>
      <c r="O27" s="476" t="s">
        <v>654</v>
      </c>
      <c r="P27" s="411"/>
      <c r="R27" s="410"/>
      <c r="X27" s="411"/>
      <c r="Y27" s="411"/>
    </row>
    <row r="28" spans="2:27" ht="15" customHeight="1" x14ac:dyDescent="0.25">
      <c r="B28" s="670"/>
      <c r="C28" s="553" t="s">
        <v>969</v>
      </c>
      <c r="D28" s="476"/>
      <c r="E28" s="476"/>
      <c r="F28" s="476"/>
      <c r="G28" s="476"/>
      <c r="H28" s="476"/>
      <c r="I28" s="476"/>
      <c r="J28" s="476"/>
      <c r="K28" s="476"/>
      <c r="L28" s="476"/>
      <c r="M28" s="476"/>
      <c r="N28" s="476"/>
      <c r="O28" s="476"/>
      <c r="P28" s="411"/>
      <c r="R28" s="410"/>
      <c r="X28" s="411"/>
      <c r="Y28" s="425"/>
    </row>
    <row r="29" spans="2:27" ht="15" customHeight="1" x14ac:dyDescent="0.25">
      <c r="B29" s="671"/>
      <c r="C29" s="553" t="s">
        <v>717</v>
      </c>
      <c r="D29" s="422" t="e">
        <f>IF(OR(D27=Wat01_option01,D27=Wat01_option02,D27=""),0,(D28/$D$51)*D27)</f>
        <v>#VALUE!</v>
      </c>
      <c r="E29" s="422" t="e">
        <f>IF(OR(E27=Wat01_option01,E27=Wat01_option02,E27=""),0,(E28/$E$51)*E27)</f>
        <v>#VALUE!</v>
      </c>
      <c r="F29" s="422" t="e">
        <f>IF(OR(F27=Wat01_option01,F27=Wat01_option02,F27=""),0,(F28/$F$51)*F27)</f>
        <v>#VALUE!</v>
      </c>
      <c r="G29" s="422" t="e">
        <f>IF(OR(G27=Wat01_option01,G27=Wat01_option02,G27=""),0,(G28/$G$51)*G27)</f>
        <v>#VALUE!</v>
      </c>
      <c r="H29" s="422" t="e">
        <f>IF(OR(H27=Wat01_option01,H27=Wat01_option02,H27=""),0,(H28/$H$51)*H27)</f>
        <v>#VALUE!</v>
      </c>
      <c r="I29" s="422" t="e">
        <f>IF(OR(I27=Wat01_option01,I27=Wat01_option02,I27=""),0,(I28/$I$51)*I27)</f>
        <v>#VALUE!</v>
      </c>
      <c r="J29" s="422" t="e">
        <f>IF(OR(J27=Wat01_option01,J27=Wat01_option02,J27=""),0,(J28/$J$51)*J27)</f>
        <v>#VALUE!</v>
      </c>
      <c r="K29" s="422" t="e">
        <f>IF(OR(K27=Wat01_option01,K27=Wat01_option02,K27=""),0,(K28/$K$51)*K27)</f>
        <v>#VALUE!</v>
      </c>
      <c r="L29" s="422" t="e">
        <f>IF(OR(L27=Wat01_option01,L27=Wat01_option02,L27=""),0,(L28/$L$51)*L27)</f>
        <v>#VALUE!</v>
      </c>
      <c r="M29" s="422" t="e">
        <f>IF(OR(M27=Wat01_option01,M27=Wat01_option02,M27=""),0,(M28/$M$51)*M27)</f>
        <v>#VALUE!</v>
      </c>
      <c r="N29" s="422" t="e">
        <f>IF(OR(N27=Wat01_option01,N27=Wat01_option02,N27=""),0,(N28/$N$51)*N27)</f>
        <v>#VALUE!</v>
      </c>
      <c r="O29" s="422" t="e">
        <f>IF(OR(O27=Wat01_option01,O27=Wat01_option02,O27=""),0,(O28/$O$51)*O27)</f>
        <v>#VALUE!</v>
      </c>
      <c r="P29" s="411"/>
      <c r="R29" s="410"/>
      <c r="X29" s="411"/>
      <c r="Y29" s="425"/>
    </row>
    <row r="30" spans="2:27" s="426" customFormat="1" ht="20.100000000000001" customHeight="1" x14ac:dyDescent="0.25">
      <c r="C30" s="427"/>
      <c r="D30" s="428" t="str">
        <f>IF(OR(D$15=$G$126,D$16=$G$136),"",IF(AND(D$17&gt;2,OR(D27=$G$124,D28="")),"↑",""))</f>
        <v/>
      </c>
      <c r="E30" s="428" t="str">
        <f t="shared" ref="E30:O30" si="4">IF(OR(E$15=$G$126,E$16=$G$136),"",IF(AND(E$17&gt;2,OR(E27=$G$124,E28="")),"↑",""))</f>
        <v/>
      </c>
      <c r="F30" s="428" t="str">
        <f t="shared" si="4"/>
        <v/>
      </c>
      <c r="G30" s="428" t="str">
        <f t="shared" si="4"/>
        <v/>
      </c>
      <c r="H30" s="428" t="str">
        <f t="shared" si="4"/>
        <v/>
      </c>
      <c r="I30" s="428" t="str">
        <f t="shared" si="4"/>
        <v/>
      </c>
      <c r="J30" s="428" t="str">
        <f t="shared" si="4"/>
        <v/>
      </c>
      <c r="K30" s="428" t="str">
        <f t="shared" si="4"/>
        <v/>
      </c>
      <c r="L30" s="428" t="str">
        <f t="shared" si="4"/>
        <v/>
      </c>
      <c r="M30" s="428" t="str">
        <f t="shared" si="4"/>
        <v/>
      </c>
      <c r="N30" s="428" t="str">
        <f t="shared" si="4"/>
        <v/>
      </c>
      <c r="O30" s="428" t="str">
        <f t="shared" si="4"/>
        <v/>
      </c>
      <c r="P30" s="411"/>
      <c r="Q30" s="412"/>
      <c r="X30" s="411"/>
    </row>
    <row r="31" spans="2:27" ht="15" customHeight="1" x14ac:dyDescent="0.25">
      <c r="B31" s="669" t="s">
        <v>892</v>
      </c>
      <c r="C31" s="553" t="s">
        <v>884</v>
      </c>
      <c r="D31" s="476" t="s">
        <v>654</v>
      </c>
      <c r="E31" s="476" t="s">
        <v>654</v>
      </c>
      <c r="F31" s="476" t="s">
        <v>654</v>
      </c>
      <c r="G31" s="476" t="s">
        <v>654</v>
      </c>
      <c r="H31" s="476" t="s">
        <v>654</v>
      </c>
      <c r="I31" s="476" t="s">
        <v>654</v>
      </c>
      <c r="J31" s="476" t="s">
        <v>654</v>
      </c>
      <c r="K31" s="476" t="s">
        <v>654</v>
      </c>
      <c r="L31" s="476" t="s">
        <v>654</v>
      </c>
      <c r="M31" s="476" t="s">
        <v>654</v>
      </c>
      <c r="N31" s="476" t="s">
        <v>654</v>
      </c>
      <c r="O31" s="476" t="s">
        <v>654</v>
      </c>
      <c r="P31" s="411"/>
      <c r="R31" s="410"/>
      <c r="X31" s="411"/>
    </row>
    <row r="32" spans="2:27" ht="15" customHeight="1" x14ac:dyDescent="0.25">
      <c r="B32" s="670"/>
      <c r="C32" s="553" t="s">
        <v>970</v>
      </c>
      <c r="D32" s="476"/>
      <c r="E32" s="476"/>
      <c r="F32" s="476"/>
      <c r="G32" s="476"/>
      <c r="H32" s="476"/>
      <c r="I32" s="476"/>
      <c r="J32" s="476"/>
      <c r="K32" s="476"/>
      <c r="L32" s="476"/>
      <c r="M32" s="476"/>
      <c r="N32" s="476"/>
      <c r="O32" s="476"/>
      <c r="P32" s="411"/>
      <c r="R32" s="410"/>
      <c r="X32" s="411"/>
    </row>
    <row r="33" spans="2:24" ht="15" customHeight="1" x14ac:dyDescent="0.25">
      <c r="B33" s="671"/>
      <c r="C33" s="553" t="s">
        <v>716</v>
      </c>
      <c r="D33" s="422" t="e">
        <f>IF(OR(D31=Wat01_option01,D31=Wat01_option02,D31=""),0,(D32/$D$51)*D31)</f>
        <v>#VALUE!</v>
      </c>
      <c r="E33" s="422" t="e">
        <f>IF(OR(E31=Wat01_option01,E31=Wat01_option02,E31=""),0,(E32/$E$51)*E31)</f>
        <v>#VALUE!</v>
      </c>
      <c r="F33" s="422" t="e">
        <f>IF(OR(F31=Wat01_option01,F31=Wat01_option02,F31=""),0,(F32/$F$51)*F31)</f>
        <v>#VALUE!</v>
      </c>
      <c r="G33" s="422" t="e">
        <f>IF(OR(G31=Wat01_option01,G31=Wat01_option02,G31=""),0,(G32/$G$51)*G31)</f>
        <v>#VALUE!</v>
      </c>
      <c r="H33" s="422" t="e">
        <f>IF(OR(H31=Wat01_option01,H31=Wat01_option02,H31=""),0,(H32/$H$51)*H31)</f>
        <v>#VALUE!</v>
      </c>
      <c r="I33" s="422" t="e">
        <f>IF(OR(I31=Wat01_option01,I31=Wat01_option02,I31=""),0,(I32/$I$51)*I31)</f>
        <v>#VALUE!</v>
      </c>
      <c r="J33" s="422" t="e">
        <f>IF(OR(J31=Wat01_option01,J31=Wat01_option02,J31=""),0,(J32/$J$51)*J31)</f>
        <v>#VALUE!</v>
      </c>
      <c r="K33" s="422" t="e">
        <f>IF(OR(K31=Wat01_option01,K31=Wat01_option02,K31=""),0,(K32/$K$51)*K31)</f>
        <v>#VALUE!</v>
      </c>
      <c r="L33" s="422" t="e">
        <f>IF(OR(L31=Wat01_option01,L31=Wat01_option02,L31=""),0,(L32/$L$51)*L31)</f>
        <v>#VALUE!</v>
      </c>
      <c r="M33" s="422" t="e">
        <f>IF(OR(M31=Wat01_option01,M31=Wat01_option02,M31=""),0,(M32/$M$51)*M31)</f>
        <v>#VALUE!</v>
      </c>
      <c r="N33" s="422" t="e">
        <f>IF(OR(N31=Wat01_option01,N31=Wat01_option02,N31=""),0,(N32/$N$51)*N31)</f>
        <v>#VALUE!</v>
      </c>
      <c r="O33" s="422" t="e">
        <f>IF(OR(O31=Wat01_option01,O31=Wat01_option02,O31=""),0,(O32/$O$51)*O31)</f>
        <v>#VALUE!</v>
      </c>
      <c r="P33" s="411"/>
      <c r="R33" s="410"/>
      <c r="X33" s="411"/>
    </row>
    <row r="34" spans="2:24" s="426" customFormat="1" ht="20.100000000000001" customHeight="1" x14ac:dyDescent="0.25">
      <c r="C34" s="427"/>
      <c r="D34" s="428" t="str">
        <f>IF(OR(D$15=$G$126,D$16=$G$136),"",IF(AND(D$17&gt;3,OR(D31=$G$124,D32="")),"↑",""))</f>
        <v/>
      </c>
      <c r="E34" s="428" t="str">
        <f t="shared" ref="E34:O34" si="5">IF(OR(E$15=$G$126,E$16=$G$136),"",IF(AND(E$17&gt;3,OR(E31=$G$124,E32="")),"↑",""))</f>
        <v/>
      </c>
      <c r="F34" s="428" t="str">
        <f t="shared" si="5"/>
        <v/>
      </c>
      <c r="G34" s="428" t="str">
        <f t="shared" si="5"/>
        <v/>
      </c>
      <c r="H34" s="428" t="str">
        <f t="shared" si="5"/>
        <v/>
      </c>
      <c r="I34" s="428" t="str">
        <f t="shared" si="5"/>
        <v/>
      </c>
      <c r="J34" s="428" t="str">
        <f t="shared" si="5"/>
        <v/>
      </c>
      <c r="K34" s="428" t="str">
        <f t="shared" si="5"/>
        <v/>
      </c>
      <c r="L34" s="428" t="str">
        <f t="shared" si="5"/>
        <v/>
      </c>
      <c r="M34" s="428" t="str">
        <f t="shared" si="5"/>
        <v/>
      </c>
      <c r="N34" s="428" t="str">
        <f t="shared" si="5"/>
        <v/>
      </c>
      <c r="O34" s="428" t="str">
        <f t="shared" si="5"/>
        <v/>
      </c>
      <c r="P34" s="411"/>
      <c r="Q34" s="412"/>
      <c r="X34" s="411"/>
    </row>
    <row r="35" spans="2:24" ht="15" customHeight="1" x14ac:dyDescent="0.25">
      <c r="B35" s="669" t="s">
        <v>893</v>
      </c>
      <c r="C35" s="553" t="s">
        <v>883</v>
      </c>
      <c r="D35" s="476" t="s">
        <v>654</v>
      </c>
      <c r="E35" s="476" t="s">
        <v>654</v>
      </c>
      <c r="F35" s="476" t="s">
        <v>654</v>
      </c>
      <c r="G35" s="476" t="s">
        <v>654</v>
      </c>
      <c r="H35" s="476" t="s">
        <v>654</v>
      </c>
      <c r="I35" s="476" t="s">
        <v>654</v>
      </c>
      <c r="J35" s="476" t="s">
        <v>654</v>
      </c>
      <c r="K35" s="476" t="s">
        <v>654</v>
      </c>
      <c r="L35" s="476" t="s">
        <v>654</v>
      </c>
      <c r="M35" s="476" t="s">
        <v>654</v>
      </c>
      <c r="N35" s="476" t="s">
        <v>654</v>
      </c>
      <c r="O35" s="476" t="s">
        <v>654</v>
      </c>
      <c r="P35" s="411"/>
      <c r="R35" s="410"/>
      <c r="X35" s="411"/>
    </row>
    <row r="36" spans="2:24" ht="15" customHeight="1" x14ac:dyDescent="0.25">
      <c r="B36" s="670"/>
      <c r="C36" s="553" t="s">
        <v>971</v>
      </c>
      <c r="D36" s="476"/>
      <c r="E36" s="476"/>
      <c r="F36" s="476"/>
      <c r="G36" s="476"/>
      <c r="H36" s="476"/>
      <c r="I36" s="476"/>
      <c r="J36" s="476"/>
      <c r="K36" s="476"/>
      <c r="L36" s="476"/>
      <c r="M36" s="476"/>
      <c r="N36" s="476"/>
      <c r="O36" s="476"/>
      <c r="P36" s="411"/>
      <c r="R36" s="410"/>
      <c r="X36" s="411"/>
    </row>
    <row r="37" spans="2:24" ht="15" customHeight="1" x14ac:dyDescent="0.25">
      <c r="B37" s="671"/>
      <c r="C37" s="553" t="s">
        <v>715</v>
      </c>
      <c r="D37" s="422" t="e">
        <f>IF(OR(D35=Wat01_option01,D35=Wat01_option02,D35=""),0,(D36/$D$51)*D35)</f>
        <v>#VALUE!</v>
      </c>
      <c r="E37" s="422" t="e">
        <f>IF(OR(E35=Wat01_option01,E35=Wat01_option02,E35=""),0,(E36/$E$51)*E35)</f>
        <v>#VALUE!</v>
      </c>
      <c r="F37" s="422" t="e">
        <f>IF(OR(F35=Wat01_option01,F35=Wat01_option02,F35=""),0,(F36/$F$51)*F35)</f>
        <v>#VALUE!</v>
      </c>
      <c r="G37" s="422" t="e">
        <f>IF(OR(G35=Wat01_option01,G35=Wat01_option02,G35=""),0,(G36/$G$51)*G35)</f>
        <v>#VALUE!</v>
      </c>
      <c r="H37" s="422" t="e">
        <f>IF(OR(H35=Wat01_option01,H35=Wat01_option02,H35=""),0,(H36/$H$51)*H35)</f>
        <v>#VALUE!</v>
      </c>
      <c r="I37" s="422" t="e">
        <f>IF(OR(I35=Wat01_option01,I35=Wat01_option02,I35=""),0,(I36/$I$51)*I35)</f>
        <v>#VALUE!</v>
      </c>
      <c r="J37" s="422" t="e">
        <f>IF(OR(J35=Wat01_option01,J35=Wat01_option02,J35=""),0,(J36/$J$51)*J35)</f>
        <v>#VALUE!</v>
      </c>
      <c r="K37" s="422" t="e">
        <f>IF(OR(K35=Wat01_option01,K35=Wat01_option02,K35=""),0,(K36/$K$51)*K35)</f>
        <v>#VALUE!</v>
      </c>
      <c r="L37" s="422" t="e">
        <f>IF(OR(L35=Wat01_option01,L35=Wat01_option02,L35=""),0,(L36/$L$51)*L35)</f>
        <v>#VALUE!</v>
      </c>
      <c r="M37" s="422" t="e">
        <f>IF(OR(M35=Wat01_option01,M35=Wat01_option02,M35=""),0,(M36/$M$51)*M35)</f>
        <v>#VALUE!</v>
      </c>
      <c r="N37" s="422" t="e">
        <f>IF(OR(N35=Wat01_option01,N35=Wat01_option02,N35=""),0,(N36/$N$51)*N35)</f>
        <v>#VALUE!</v>
      </c>
      <c r="O37" s="422" t="e">
        <f>IF(OR(O35=Wat01_option01,O35=Wat01_option02,O35=""),0,(O36/$O$51)*O35)</f>
        <v>#VALUE!</v>
      </c>
      <c r="P37" s="411"/>
      <c r="R37" s="410"/>
      <c r="X37" s="411"/>
    </row>
    <row r="38" spans="2:24" s="426" customFormat="1" ht="20.100000000000001" customHeight="1" x14ac:dyDescent="0.25">
      <c r="C38" s="427"/>
      <c r="D38" s="428" t="str">
        <f>IF(OR(D$15=$G$126,D$16=$G$136),"",IF(AND(D$17&gt;4,OR(D35=$G$124,D36="")),"↑",""))</f>
        <v/>
      </c>
      <c r="E38" s="428" t="str">
        <f t="shared" ref="E38:O38" si="6">IF(OR(E$15=$G$126,E$16=$G$136),"",IF(AND(E$17&gt;4,OR(E35=$G$124,E36="")),"↑",""))</f>
        <v/>
      </c>
      <c r="F38" s="428" t="str">
        <f t="shared" si="6"/>
        <v/>
      </c>
      <c r="G38" s="428" t="str">
        <f t="shared" si="6"/>
        <v/>
      </c>
      <c r="H38" s="428" t="str">
        <f t="shared" si="6"/>
        <v/>
      </c>
      <c r="I38" s="428" t="str">
        <f t="shared" si="6"/>
        <v/>
      </c>
      <c r="J38" s="428" t="str">
        <f t="shared" si="6"/>
        <v/>
      </c>
      <c r="K38" s="428" t="str">
        <f t="shared" si="6"/>
        <v/>
      </c>
      <c r="L38" s="428" t="str">
        <f t="shared" si="6"/>
        <v/>
      </c>
      <c r="M38" s="428" t="str">
        <f t="shared" si="6"/>
        <v/>
      </c>
      <c r="N38" s="428" t="str">
        <f t="shared" si="6"/>
        <v/>
      </c>
      <c r="O38" s="428" t="str">
        <f t="shared" si="6"/>
        <v/>
      </c>
      <c r="P38" s="411"/>
      <c r="Q38" s="412"/>
      <c r="X38" s="411"/>
    </row>
    <row r="39" spans="2:24" ht="15" customHeight="1" x14ac:dyDescent="0.25">
      <c r="B39" s="669" t="s">
        <v>894</v>
      </c>
      <c r="C39" s="553" t="s">
        <v>882</v>
      </c>
      <c r="D39" s="476" t="s">
        <v>654</v>
      </c>
      <c r="E39" s="476" t="s">
        <v>654</v>
      </c>
      <c r="F39" s="476" t="s">
        <v>654</v>
      </c>
      <c r="G39" s="476" t="s">
        <v>654</v>
      </c>
      <c r="H39" s="476" t="s">
        <v>654</v>
      </c>
      <c r="I39" s="476" t="s">
        <v>654</v>
      </c>
      <c r="J39" s="476" t="s">
        <v>654</v>
      </c>
      <c r="K39" s="476" t="s">
        <v>654</v>
      </c>
      <c r="L39" s="476" t="s">
        <v>654</v>
      </c>
      <c r="M39" s="476" t="s">
        <v>654</v>
      </c>
      <c r="N39" s="476" t="s">
        <v>654</v>
      </c>
      <c r="O39" s="476" t="s">
        <v>654</v>
      </c>
      <c r="P39" s="411"/>
      <c r="R39" s="410"/>
      <c r="X39" s="411"/>
    </row>
    <row r="40" spans="2:24" ht="15" customHeight="1" x14ac:dyDescent="0.25">
      <c r="B40" s="670"/>
      <c r="C40" s="553" t="s">
        <v>972</v>
      </c>
      <c r="D40" s="476"/>
      <c r="E40" s="476"/>
      <c r="F40" s="476"/>
      <c r="G40" s="476"/>
      <c r="H40" s="476"/>
      <c r="I40" s="476"/>
      <c r="J40" s="476"/>
      <c r="K40" s="476"/>
      <c r="L40" s="476"/>
      <c r="M40" s="476"/>
      <c r="N40" s="476"/>
      <c r="O40" s="476"/>
      <c r="P40" s="411"/>
      <c r="R40" s="410"/>
      <c r="X40" s="411"/>
    </row>
    <row r="41" spans="2:24" ht="15" customHeight="1" x14ac:dyDescent="0.25">
      <c r="B41" s="671"/>
      <c r="C41" s="553" t="s">
        <v>714</v>
      </c>
      <c r="D41" s="422" t="e">
        <f>IF(OR(D39=Wat01_option01,D39=Wat01_option02,D39=""),0,(D40/$D$51)*D39)</f>
        <v>#VALUE!</v>
      </c>
      <c r="E41" s="422" t="e">
        <f>IF(OR(E39=Wat01_option01,E39=Wat01_option02,E39=""),0,(E40/$E$51)*E39)</f>
        <v>#VALUE!</v>
      </c>
      <c r="F41" s="422" t="e">
        <f>IF(OR(F39=Wat01_option01,F39=Wat01_option02,F39=""),0,(F40/$F$51)*F39)</f>
        <v>#VALUE!</v>
      </c>
      <c r="G41" s="422" t="e">
        <f>IF(OR(G39=Wat01_option01,G39=Wat01_option02,G39=""),0,(G40/$G$51)*G39)</f>
        <v>#VALUE!</v>
      </c>
      <c r="H41" s="422" t="e">
        <f>IF(OR(H39=Wat01_option01,H39=Wat01_option02,H39=""),0,(H40/$H$51)*H39)</f>
        <v>#VALUE!</v>
      </c>
      <c r="I41" s="422" t="e">
        <f>IF(OR(I39=Wat01_option01,I39=Wat01_option02,I39=""),0,(I40/$I$51)*I39)</f>
        <v>#VALUE!</v>
      </c>
      <c r="J41" s="422" t="e">
        <f>IF(OR(J39=Wat01_option01,J39=Wat01_option02,J39=""),0,(J40/$J$51)*J39)</f>
        <v>#VALUE!</v>
      </c>
      <c r="K41" s="422" t="e">
        <f>IF(OR(K39=Wat01_option01,K39=Wat01_option02,K39=""),0,(K40/$K$51)*K39)</f>
        <v>#VALUE!</v>
      </c>
      <c r="L41" s="422" t="e">
        <f>IF(OR(L39=Wat01_option01,L39=Wat01_option02,L39=""),0,(L40/$L$51)*L39)</f>
        <v>#VALUE!</v>
      </c>
      <c r="M41" s="422" t="e">
        <f>IF(OR(M39=Wat01_option01,M39=Wat01_option02,M39=""),0,(M40/$M$51)*M39)</f>
        <v>#VALUE!</v>
      </c>
      <c r="N41" s="422" t="e">
        <f>IF(OR(N39=Wat01_option01,N39=Wat01_option02,N39=""),0,(N40/$N$51)*N39)</f>
        <v>#VALUE!</v>
      </c>
      <c r="O41" s="422" t="e">
        <f>IF(OR(O39=Wat01_option01,O39=Wat01_option02,O39=""),0,(O40/$O$51)*O39)</f>
        <v>#VALUE!</v>
      </c>
      <c r="P41" s="411"/>
      <c r="R41" s="410"/>
      <c r="X41" s="411"/>
    </row>
    <row r="42" spans="2:24" s="426" customFormat="1" ht="20.100000000000001" customHeight="1" x14ac:dyDescent="0.25">
      <c r="C42" s="427"/>
      <c r="D42" s="428" t="str">
        <f>IF(OR(D$15=$G$126,D$16=$G$136),"",IF(AND(D$17&gt;5,OR(D39=$G$124,D40="")),"↑",""))</f>
        <v/>
      </c>
      <c r="E42" s="428" t="str">
        <f t="shared" ref="E42:O42" si="7">IF(OR(E$15=$G$126,E$16=$G$136),"",IF(AND(E$17&gt;5,OR(E39=$G$124,E40="")),"↑",""))</f>
        <v/>
      </c>
      <c r="F42" s="428" t="str">
        <f t="shared" si="7"/>
        <v/>
      </c>
      <c r="G42" s="428" t="str">
        <f t="shared" si="7"/>
        <v/>
      </c>
      <c r="H42" s="428" t="str">
        <f t="shared" si="7"/>
        <v/>
      </c>
      <c r="I42" s="428" t="str">
        <f t="shared" si="7"/>
        <v/>
      </c>
      <c r="J42" s="428" t="str">
        <f t="shared" si="7"/>
        <v/>
      </c>
      <c r="K42" s="428" t="str">
        <f t="shared" si="7"/>
        <v/>
      </c>
      <c r="L42" s="428" t="str">
        <f t="shared" si="7"/>
        <v/>
      </c>
      <c r="M42" s="428" t="str">
        <f t="shared" si="7"/>
        <v/>
      </c>
      <c r="N42" s="428" t="str">
        <f t="shared" si="7"/>
        <v/>
      </c>
      <c r="O42" s="428" t="str">
        <f t="shared" si="7"/>
        <v/>
      </c>
      <c r="P42" s="411"/>
      <c r="Q42" s="412"/>
      <c r="X42" s="411"/>
    </row>
    <row r="43" spans="2:24" ht="15" customHeight="1" x14ac:dyDescent="0.25">
      <c r="B43" s="669" t="s">
        <v>895</v>
      </c>
      <c r="C43" s="553" t="s">
        <v>881</v>
      </c>
      <c r="D43" s="476" t="s">
        <v>654</v>
      </c>
      <c r="E43" s="476" t="s">
        <v>654</v>
      </c>
      <c r="F43" s="476" t="s">
        <v>654</v>
      </c>
      <c r="G43" s="476" t="s">
        <v>654</v>
      </c>
      <c r="H43" s="476" t="s">
        <v>654</v>
      </c>
      <c r="I43" s="476" t="s">
        <v>654</v>
      </c>
      <c r="J43" s="476" t="s">
        <v>654</v>
      </c>
      <c r="K43" s="476" t="s">
        <v>654</v>
      </c>
      <c r="L43" s="476" t="s">
        <v>654</v>
      </c>
      <c r="M43" s="476" t="s">
        <v>654</v>
      </c>
      <c r="N43" s="476" t="s">
        <v>654</v>
      </c>
      <c r="O43" s="476" t="s">
        <v>654</v>
      </c>
      <c r="P43" s="411"/>
      <c r="R43" s="410"/>
      <c r="X43" s="411"/>
    </row>
    <row r="44" spans="2:24" ht="15" customHeight="1" x14ac:dyDescent="0.25">
      <c r="B44" s="670"/>
      <c r="C44" s="553" t="s">
        <v>973</v>
      </c>
      <c r="D44" s="476"/>
      <c r="E44" s="476"/>
      <c r="F44" s="476"/>
      <c r="G44" s="476"/>
      <c r="H44" s="476"/>
      <c r="I44" s="476"/>
      <c r="J44" s="476"/>
      <c r="K44" s="476"/>
      <c r="L44" s="476"/>
      <c r="M44" s="476"/>
      <c r="N44" s="476"/>
      <c r="O44" s="476"/>
      <c r="P44" s="411"/>
      <c r="R44" s="410"/>
      <c r="X44" s="411"/>
    </row>
    <row r="45" spans="2:24" ht="15" customHeight="1" x14ac:dyDescent="0.25">
      <c r="B45" s="671"/>
      <c r="C45" s="553" t="s">
        <v>713</v>
      </c>
      <c r="D45" s="422" t="e">
        <f>IF(OR(D43=Wat01_option01,D43=Wat01_option02,D43=""),0,(D44/$D$51)*D43)</f>
        <v>#VALUE!</v>
      </c>
      <c r="E45" s="422" t="e">
        <f>IF(OR(E43=Wat01_option01,E43=Wat01_option02,E43=""),0,(E44/$E$51)*E43)</f>
        <v>#VALUE!</v>
      </c>
      <c r="F45" s="422" t="e">
        <f>IF(OR(F43=Wat01_option01,F43=Wat01_option02,F43=""),0,(F44/$F$51)*F43)</f>
        <v>#VALUE!</v>
      </c>
      <c r="G45" s="422" t="e">
        <f>IF(OR(G43=Wat01_option01,G43=Wat01_option02,G43=""),0,(G44/$G$51)*G43)</f>
        <v>#VALUE!</v>
      </c>
      <c r="H45" s="422" t="e">
        <f>IF(OR(H43=Wat01_option01,H43=Wat01_option02,H43=""),0,(H44/$H$51)*H43)</f>
        <v>#VALUE!</v>
      </c>
      <c r="I45" s="422" t="e">
        <f>IF(OR(I43=Wat01_option01,I43=Wat01_option02,I43=""),0,(I44/$I$51)*I43)</f>
        <v>#VALUE!</v>
      </c>
      <c r="J45" s="422" t="e">
        <f>IF(OR(J43=Wat01_option01,J43=Wat01_option02,J43=""),0,(J44/$J$51)*J43)</f>
        <v>#VALUE!</v>
      </c>
      <c r="K45" s="422" t="e">
        <f>IF(OR(K43=Wat01_option01,K43=Wat01_option02,K43=""),0,(K44/$K$51)*K43)</f>
        <v>#VALUE!</v>
      </c>
      <c r="L45" s="422" t="e">
        <f>IF(OR(L43=Wat01_option01,L43=Wat01_option02,L43=""),0,(L44/$L$51)*L43)</f>
        <v>#VALUE!</v>
      </c>
      <c r="M45" s="422" t="e">
        <f>IF(OR(M43=Wat01_option01,M43=Wat01_option02,M43=""),0,(M44/$M$51)*M43)</f>
        <v>#VALUE!</v>
      </c>
      <c r="N45" s="422" t="e">
        <f>IF(OR(N43=Wat01_option01,N43=Wat01_option02,N43=""),0,(N44/$N$51)*N43)</f>
        <v>#VALUE!</v>
      </c>
      <c r="O45" s="422" t="e">
        <f>IF(OR(O43=Wat01_option01,O43=Wat01_option02,O43=""),0,(O44/$O$51)*O43)</f>
        <v>#VALUE!</v>
      </c>
      <c r="P45" s="411"/>
      <c r="R45" s="410"/>
      <c r="X45" s="411"/>
    </row>
    <row r="46" spans="2:24" s="426" customFormat="1" ht="20.100000000000001" customHeight="1" x14ac:dyDescent="0.25">
      <c r="C46" s="427"/>
      <c r="D46" s="428" t="str">
        <f>IF(OR(D$15=$G$126,D$16=$G$136),"",IF(AND(D$17&gt;7,OR(D43=$G$124,D44="")),"↑",""))</f>
        <v/>
      </c>
      <c r="E46" s="428" t="str">
        <f t="shared" ref="E46:O46" si="8">IF(OR(E$15=$G$126,E$16=$G$136),"",IF(AND(E$17&gt;7,OR(E43=$G$124,E44="")),"↑",""))</f>
        <v/>
      </c>
      <c r="F46" s="428" t="str">
        <f t="shared" si="8"/>
        <v/>
      </c>
      <c r="G46" s="428" t="str">
        <f t="shared" si="8"/>
        <v/>
      </c>
      <c r="H46" s="428" t="str">
        <f t="shared" si="8"/>
        <v/>
      </c>
      <c r="I46" s="428" t="str">
        <f t="shared" si="8"/>
        <v/>
      </c>
      <c r="J46" s="428" t="str">
        <f t="shared" si="8"/>
        <v/>
      </c>
      <c r="K46" s="428" t="str">
        <f t="shared" si="8"/>
        <v/>
      </c>
      <c r="L46" s="428" t="str">
        <f t="shared" si="8"/>
        <v/>
      </c>
      <c r="M46" s="428" t="str">
        <f t="shared" si="8"/>
        <v/>
      </c>
      <c r="N46" s="428" t="str">
        <f t="shared" si="8"/>
        <v/>
      </c>
      <c r="O46" s="428" t="str">
        <f t="shared" si="8"/>
        <v/>
      </c>
      <c r="P46" s="411"/>
      <c r="Q46" s="412"/>
      <c r="X46" s="411"/>
    </row>
    <row r="47" spans="2:24" ht="15" customHeight="1" x14ac:dyDescent="0.25">
      <c r="B47" s="669" t="s">
        <v>896</v>
      </c>
      <c r="C47" s="553" t="s">
        <v>880</v>
      </c>
      <c r="D47" s="476" t="s">
        <v>654</v>
      </c>
      <c r="E47" s="476" t="s">
        <v>654</v>
      </c>
      <c r="F47" s="476" t="s">
        <v>654</v>
      </c>
      <c r="G47" s="476" t="s">
        <v>654</v>
      </c>
      <c r="H47" s="476" t="s">
        <v>654</v>
      </c>
      <c r="I47" s="476" t="s">
        <v>654</v>
      </c>
      <c r="J47" s="476" t="s">
        <v>654</v>
      </c>
      <c r="K47" s="476" t="s">
        <v>654</v>
      </c>
      <c r="L47" s="476" t="s">
        <v>654</v>
      </c>
      <c r="M47" s="476" t="s">
        <v>654</v>
      </c>
      <c r="N47" s="476" t="s">
        <v>654</v>
      </c>
      <c r="O47" s="476" t="s">
        <v>654</v>
      </c>
      <c r="P47" s="411"/>
      <c r="R47" s="410"/>
      <c r="X47" s="411"/>
    </row>
    <row r="48" spans="2:24" ht="15" customHeight="1" x14ac:dyDescent="0.25">
      <c r="B48" s="670"/>
      <c r="C48" s="553" t="s">
        <v>974</v>
      </c>
      <c r="D48" s="476"/>
      <c r="E48" s="476"/>
      <c r="F48" s="476"/>
      <c r="G48" s="476"/>
      <c r="H48" s="476"/>
      <c r="I48" s="476"/>
      <c r="J48" s="476"/>
      <c r="K48" s="476"/>
      <c r="L48" s="476"/>
      <c r="M48" s="476"/>
      <c r="N48" s="476"/>
      <c r="O48" s="476"/>
      <c r="P48" s="411"/>
      <c r="R48" s="410"/>
      <c r="X48" s="411"/>
    </row>
    <row r="49" spans="1:24" ht="15" customHeight="1" x14ac:dyDescent="0.25">
      <c r="B49" s="671"/>
      <c r="C49" s="553" t="s">
        <v>712</v>
      </c>
      <c r="D49" s="422" t="e">
        <f>IF(OR(D47=Wat01_option01,D47=Wat01_option02,D47=""),0,(D48/$D$51)*D47)</f>
        <v>#VALUE!</v>
      </c>
      <c r="E49" s="422" t="e">
        <f>IF(OR(E47=Wat01_option01,E47=Wat01_option02,E47=""),0,(E48/$E$51)*E47)</f>
        <v>#VALUE!</v>
      </c>
      <c r="F49" s="422" t="e">
        <f>IF(OR(F47=Wat01_option01,F47=Wat01_option02,F47=""),0,(F48/$F$51)*F47)</f>
        <v>#VALUE!</v>
      </c>
      <c r="G49" s="422" t="e">
        <f>IF(OR(G47=Wat01_option01,G47=Wat01_option02,G47=""),0,(G48/$G$51)*G47)</f>
        <v>#VALUE!</v>
      </c>
      <c r="H49" s="422" t="e">
        <f>IF(OR(H47=Wat01_option01,H47=Wat01_option02,H47=""),0,(H48/$H$51)*H47)</f>
        <v>#VALUE!</v>
      </c>
      <c r="I49" s="422" t="e">
        <f>IF(OR(I47=Wat01_option01,I47=Wat01_option02,I47=""),0,(I48/$I$51)*I47)</f>
        <v>#VALUE!</v>
      </c>
      <c r="J49" s="422" t="e">
        <f>IF(OR(J47=Wat01_option01,J47=Wat01_option02,J47=""),0,(J48/$J$51)*J47)</f>
        <v>#VALUE!</v>
      </c>
      <c r="K49" s="422" t="e">
        <f>IF(OR(K47=Wat01_option01,K47=Wat01_option02,K47=""),0,(K48/$K$51)*K47)</f>
        <v>#VALUE!</v>
      </c>
      <c r="L49" s="422" t="e">
        <f>IF(OR(L47=Wat01_option01,L47=Wat01_option02,L47=""),0,(L48/$L$51)*L47)</f>
        <v>#VALUE!</v>
      </c>
      <c r="M49" s="422" t="e">
        <f>IF(OR(M47=Wat01_option01,M47=Wat01_option02,M47=""),0,(M48/$M$51)*M47)</f>
        <v>#VALUE!</v>
      </c>
      <c r="N49" s="422" t="e">
        <f>IF(OR(N47=Wat01_option01,N47=Wat01_option02,N47=""),0,(N48/$N$51)*N47)</f>
        <v>#VALUE!</v>
      </c>
      <c r="O49" s="422" t="e">
        <f>IF(OR(O47=Wat01_option01,O47=Wat01_option02,O47=""),0,(O48/$O$51)*O47)</f>
        <v>#VALUE!</v>
      </c>
      <c r="P49" s="411"/>
      <c r="R49" s="410"/>
      <c r="X49" s="411"/>
    </row>
    <row r="50" spans="1:24" ht="24.95" customHeight="1" x14ac:dyDescent="0.25">
      <c r="C50" s="424"/>
      <c r="D50" s="428" t="str">
        <f>IF(OR(D$15=$G$126,D$16=$G$136),"",IF(AND(D$17&gt;8,OR(D47=$G$124,D48="")),"↑",""))</f>
        <v/>
      </c>
      <c r="E50" s="428" t="str">
        <f t="shared" ref="E50:O50" si="9">IF(OR(E$15=$G$126,E$16=$G$136),"",IF(AND(E$17&gt;8,OR(E47=$G$124,E48="")),"↑",""))</f>
        <v/>
      </c>
      <c r="F50" s="428" t="str">
        <f t="shared" si="9"/>
        <v/>
      </c>
      <c r="G50" s="428" t="str">
        <f t="shared" si="9"/>
        <v/>
      </c>
      <c r="H50" s="428" t="str">
        <f t="shared" si="9"/>
        <v/>
      </c>
      <c r="I50" s="428" t="str">
        <f t="shared" si="9"/>
        <v/>
      </c>
      <c r="J50" s="428" t="str">
        <f t="shared" si="9"/>
        <v/>
      </c>
      <c r="K50" s="428" t="str">
        <f t="shared" si="9"/>
        <v/>
      </c>
      <c r="L50" s="428" t="str">
        <f t="shared" si="9"/>
        <v/>
      </c>
      <c r="M50" s="428" t="str">
        <f t="shared" si="9"/>
        <v/>
      </c>
      <c r="N50" s="428" t="str">
        <f t="shared" si="9"/>
        <v/>
      </c>
      <c r="O50" s="428" t="str">
        <f t="shared" si="9"/>
        <v/>
      </c>
      <c r="P50" s="411"/>
      <c r="R50" s="410"/>
      <c r="X50" s="411"/>
    </row>
    <row r="51" spans="1:24" ht="15" customHeight="1" x14ac:dyDescent="0.25">
      <c r="B51" s="646" t="s">
        <v>690</v>
      </c>
      <c r="C51" s="646"/>
      <c r="D51" s="429" t="str">
        <f t="shared" ref="D51:O51" si="10">IF(D17=1,D20,IF(D17=2,D20+D24,IF(D17=3,D20+D24+D28,IF(D17=4,D20+D24+D28+D32,IF(D17=5,D20+D24+D28+D32+D36,IF(D17=6,D20+D24+D28+D32+D36+D40,IF(D17=7,D20+D24+D28+D32+D36+D40+D44,IF(D17=8,D20+D24+D28+D32+D36+D40+D44+D48,"-"))))))))</f>
        <v>-</v>
      </c>
      <c r="E51" s="429" t="str">
        <f t="shared" si="10"/>
        <v>-</v>
      </c>
      <c r="F51" s="429" t="str">
        <f t="shared" si="10"/>
        <v>-</v>
      </c>
      <c r="G51" s="429" t="str">
        <f t="shared" si="10"/>
        <v>-</v>
      </c>
      <c r="H51" s="429" t="str">
        <f t="shared" si="10"/>
        <v>-</v>
      </c>
      <c r="I51" s="429" t="str">
        <f t="shared" si="10"/>
        <v>-</v>
      </c>
      <c r="J51" s="429" t="str">
        <f t="shared" si="10"/>
        <v>-</v>
      </c>
      <c r="K51" s="429" t="str">
        <f t="shared" si="10"/>
        <v>-</v>
      </c>
      <c r="L51" s="429" t="str">
        <f t="shared" si="10"/>
        <v>-</v>
      </c>
      <c r="M51" s="429" t="str">
        <f t="shared" si="10"/>
        <v>-</v>
      </c>
      <c r="N51" s="429" t="str">
        <f t="shared" si="10"/>
        <v>-</v>
      </c>
      <c r="O51" s="429" t="str">
        <f t="shared" si="10"/>
        <v>-</v>
      </c>
      <c r="P51" s="411"/>
      <c r="R51" s="410"/>
      <c r="X51" s="411"/>
    </row>
    <row r="52" spans="1:24" x14ac:dyDescent="0.25">
      <c r="C52" s="424"/>
      <c r="D52" s="410"/>
      <c r="E52" s="410"/>
      <c r="F52" s="410"/>
      <c r="G52" s="410"/>
      <c r="H52" s="410"/>
      <c r="I52" s="410"/>
      <c r="J52" s="410"/>
      <c r="K52" s="410"/>
      <c r="L52" s="410"/>
      <c r="M52" s="410"/>
      <c r="N52" s="410"/>
      <c r="O52" s="410"/>
      <c r="P52" s="411"/>
      <c r="R52" s="410"/>
      <c r="X52" s="411"/>
    </row>
    <row r="53" spans="1:24" ht="15" customHeight="1" x14ac:dyDescent="0.25">
      <c r="B53" s="646" t="s">
        <v>720</v>
      </c>
      <c r="C53" s="646"/>
      <c r="D53" s="430" t="str">
        <f t="shared" ref="D53:O53" si="11">IF(D17=1,D21,IF(D17=2,D21+D25,IF(D17=3,D21+D25+D29,IF(D17=4,D21+D25+D29+D33,IF(D17=5,D21+D25+D29+D33+D37,IF(D17=6,D21+D25+D29+D33+D37+D41,IF(D17=7,D21+D25+D29+D33+D37+D41+D45,IF(D17=8,D21+D25+D29+D33+D37+D41+D45+D49,"-"))))))))</f>
        <v>-</v>
      </c>
      <c r="E53" s="430" t="str">
        <f t="shared" si="11"/>
        <v>-</v>
      </c>
      <c r="F53" s="430" t="str">
        <f t="shared" si="11"/>
        <v>-</v>
      </c>
      <c r="G53" s="430" t="str">
        <f t="shared" si="11"/>
        <v>-</v>
      </c>
      <c r="H53" s="430" t="str">
        <f t="shared" si="11"/>
        <v>-</v>
      </c>
      <c r="I53" s="430" t="str">
        <f t="shared" si="11"/>
        <v>-</v>
      </c>
      <c r="J53" s="430" t="str">
        <f t="shared" si="11"/>
        <v>-</v>
      </c>
      <c r="K53" s="430" t="str">
        <f t="shared" si="11"/>
        <v>-</v>
      </c>
      <c r="L53" s="430" t="str">
        <f t="shared" si="11"/>
        <v>-</v>
      </c>
      <c r="M53" s="430" t="str">
        <f t="shared" si="11"/>
        <v>-</v>
      </c>
      <c r="N53" s="430" t="str">
        <f t="shared" si="11"/>
        <v>-</v>
      </c>
      <c r="O53" s="430" t="str">
        <f t="shared" si="11"/>
        <v>-</v>
      </c>
      <c r="P53" s="411"/>
      <c r="R53" s="410"/>
      <c r="X53" s="411"/>
    </row>
    <row r="54" spans="1:24" x14ac:dyDescent="0.25">
      <c r="C54" s="431"/>
      <c r="D54" s="432"/>
      <c r="E54" s="432"/>
      <c r="F54" s="432"/>
      <c r="G54" s="432"/>
      <c r="H54" s="432"/>
      <c r="I54" s="432"/>
      <c r="J54" s="432"/>
      <c r="K54" s="432"/>
      <c r="L54" s="432"/>
      <c r="M54" s="432"/>
      <c r="N54" s="432"/>
      <c r="O54" s="432"/>
      <c r="P54" s="411"/>
      <c r="R54" s="410"/>
      <c r="X54" s="411"/>
    </row>
    <row r="55" spans="1:24" ht="15" customHeight="1" x14ac:dyDescent="0.25">
      <c r="B55" s="646" t="s">
        <v>692</v>
      </c>
      <c r="C55" s="646"/>
      <c r="D55" s="433" t="str">
        <f>D114</f>
        <v>N/A</v>
      </c>
      <c r="E55" s="433" t="str">
        <f>IF(ISERROR(E114),"-",E114)</f>
        <v>N/A</v>
      </c>
      <c r="F55" s="433" t="str">
        <f>IF(ISERROR(F114),"-",F114)</f>
        <v>N/A</v>
      </c>
      <c r="G55" s="433" t="str">
        <f>IF(ISERROR(G114),"-",G114)</f>
        <v>N/A</v>
      </c>
      <c r="H55" s="433" t="str">
        <f t="shared" ref="H55:O55" si="12">H114</f>
        <v>N/A</v>
      </c>
      <c r="I55" s="433" t="str">
        <f t="shared" si="12"/>
        <v>N/A</v>
      </c>
      <c r="J55" s="433" t="str">
        <f t="shared" si="12"/>
        <v>N/A</v>
      </c>
      <c r="K55" s="433" t="str">
        <f t="shared" si="12"/>
        <v>N/A</v>
      </c>
      <c r="L55" s="433" t="str">
        <f t="shared" si="12"/>
        <v>N/A</v>
      </c>
      <c r="M55" s="433" t="str">
        <f t="shared" si="12"/>
        <v>N/A</v>
      </c>
      <c r="N55" s="433" t="str">
        <f t="shared" si="12"/>
        <v>N/A</v>
      </c>
      <c r="O55" s="433" t="str">
        <f t="shared" si="12"/>
        <v>N/A</v>
      </c>
      <c r="P55" s="411"/>
      <c r="R55" s="410"/>
      <c r="X55" s="411"/>
    </row>
    <row r="56" spans="1:24" x14ac:dyDescent="0.25">
      <c r="C56" s="424"/>
      <c r="D56" s="410"/>
      <c r="E56" s="410"/>
      <c r="F56" s="410"/>
      <c r="G56" s="410"/>
      <c r="H56" s="410"/>
      <c r="I56" s="410"/>
      <c r="J56" s="410"/>
      <c r="K56" s="410"/>
      <c r="L56" s="410"/>
      <c r="M56" s="410"/>
      <c r="N56" s="410"/>
      <c r="O56" s="410"/>
      <c r="P56" s="411"/>
      <c r="Q56" s="410"/>
      <c r="R56" s="410"/>
      <c r="X56" s="411"/>
    </row>
    <row r="57" spans="1:24" ht="15" customHeight="1" x14ac:dyDescent="0.25">
      <c r="B57" s="646" t="s">
        <v>694</v>
      </c>
      <c r="C57" s="646"/>
      <c r="D57" s="422" t="str">
        <f t="shared" ref="D57:O57" si="13">IF(ISERROR(IF(OR(D15=$G$126,D16=$G$136),"-",IF(D55="N/A","-",D53*D55))),"-",IF(OR(D15=$G$126,D16=$G$136),"-",IF(D55="N/A","-",D53*D55)))</f>
        <v>-</v>
      </c>
      <c r="E57" s="422" t="str">
        <f t="shared" si="13"/>
        <v>-</v>
      </c>
      <c r="F57" s="422" t="str">
        <f t="shared" si="13"/>
        <v>-</v>
      </c>
      <c r="G57" s="422" t="str">
        <f t="shared" si="13"/>
        <v>-</v>
      </c>
      <c r="H57" s="422" t="str">
        <f t="shared" si="13"/>
        <v>-</v>
      </c>
      <c r="I57" s="422" t="str">
        <f t="shared" si="13"/>
        <v>-</v>
      </c>
      <c r="J57" s="422" t="str">
        <f t="shared" si="13"/>
        <v>-</v>
      </c>
      <c r="K57" s="422" t="str">
        <f t="shared" si="13"/>
        <v>-</v>
      </c>
      <c r="L57" s="422" t="str">
        <f t="shared" si="13"/>
        <v>-</v>
      </c>
      <c r="M57" s="422" t="str">
        <f t="shared" si="13"/>
        <v>-</v>
      </c>
      <c r="N57" s="422" t="str">
        <f t="shared" si="13"/>
        <v>-</v>
      </c>
      <c r="O57" s="422" t="str">
        <f t="shared" si="13"/>
        <v>-</v>
      </c>
      <c r="P57" s="411"/>
      <c r="R57" s="410"/>
      <c r="X57" s="411"/>
    </row>
    <row r="58" spans="1:24" ht="15" customHeight="1" x14ac:dyDescent="0.25">
      <c r="C58" s="424"/>
      <c r="D58" s="410"/>
      <c r="E58" s="411"/>
      <c r="F58" s="411"/>
      <c r="G58" s="411"/>
      <c r="H58" s="410"/>
      <c r="I58" s="411"/>
      <c r="J58" s="411"/>
      <c r="K58" s="411"/>
      <c r="L58" s="410"/>
      <c r="M58" s="410"/>
      <c r="N58" s="410"/>
      <c r="O58" s="410"/>
      <c r="P58" s="411"/>
      <c r="R58" s="410"/>
      <c r="X58" s="411"/>
    </row>
    <row r="59" spans="1:24" ht="15" customHeight="1" x14ac:dyDescent="0.25">
      <c r="B59" s="647" t="s">
        <v>691</v>
      </c>
      <c r="C59" s="647"/>
      <c r="D59" s="434" t="str">
        <f>IF(ISERROR(IF((SUM(D57:O57))&lt;1,Wat01_option02,(SUM(D57:O57)))),C138,IF((SUM(D57:O57))&lt;1,Wat01_option02,(SUM(D57:O57))))</f>
        <v/>
      </c>
      <c r="E59" s="435" t="s">
        <v>877</v>
      </c>
      <c r="F59" s="411"/>
      <c r="G59" s="411"/>
      <c r="H59" s="436"/>
      <c r="I59" s="411"/>
      <c r="J59" s="411"/>
      <c r="K59" s="411"/>
      <c r="L59" s="411"/>
      <c r="M59" s="411"/>
      <c r="N59" s="411"/>
      <c r="O59" s="411"/>
      <c r="P59" s="411"/>
      <c r="R59" s="410"/>
    </row>
    <row r="60" spans="1:24" ht="24.95" customHeight="1" x14ac:dyDescent="0.25">
      <c r="C60" s="410"/>
      <c r="D60" s="410"/>
      <c r="E60" s="411"/>
      <c r="G60" s="411"/>
      <c r="H60" s="436"/>
      <c r="I60" s="411"/>
      <c r="J60" s="411"/>
      <c r="K60" s="411"/>
      <c r="L60" s="411"/>
      <c r="M60" s="411"/>
      <c r="N60" s="411"/>
      <c r="O60" s="411"/>
      <c r="P60" s="411"/>
      <c r="R60" s="410"/>
    </row>
    <row r="61" spans="1:24" ht="24.95" customHeight="1" x14ac:dyDescent="0.25">
      <c r="B61" s="534" t="s">
        <v>908</v>
      </c>
      <c r="C61" s="534"/>
      <c r="D61" s="534"/>
      <c r="E61" s="534"/>
      <c r="F61" s="534"/>
      <c r="G61" s="534"/>
      <c r="H61" s="534"/>
      <c r="I61" s="534"/>
      <c r="J61" s="534"/>
      <c r="K61" s="534"/>
      <c r="L61" s="534"/>
      <c r="M61" s="534"/>
      <c r="N61" s="534"/>
      <c r="O61" s="534"/>
      <c r="P61" s="411"/>
      <c r="R61" s="410"/>
      <c r="X61" s="411"/>
    </row>
    <row r="62" spans="1:24" ht="24.95" customHeight="1" x14ac:dyDescent="0.25">
      <c r="C62" s="410"/>
      <c r="D62" s="410"/>
      <c r="E62" s="411"/>
      <c r="F62" s="411"/>
      <c r="G62" s="411"/>
      <c r="H62" s="410"/>
      <c r="I62" s="411"/>
      <c r="J62" s="411"/>
      <c r="K62" s="411"/>
      <c r="L62" s="410"/>
      <c r="M62" s="410"/>
      <c r="N62" s="410"/>
      <c r="O62" s="410"/>
      <c r="P62" s="411"/>
      <c r="R62" s="410"/>
      <c r="X62" s="411"/>
    </row>
    <row r="63" spans="1:24" ht="15" customHeight="1" x14ac:dyDescent="0.25">
      <c r="A63" s="413" t="str">
        <f>IF(OR(G63="",G63=$G$124),"→","")</f>
        <v>→</v>
      </c>
      <c r="B63" s="647" t="s">
        <v>699</v>
      </c>
      <c r="C63" s="647"/>
      <c r="D63" s="647"/>
      <c r="E63" s="647"/>
      <c r="F63" s="647"/>
      <c r="G63" s="660" t="s">
        <v>654</v>
      </c>
      <c r="H63" s="661"/>
      <c r="I63" s="411"/>
      <c r="J63" s="411"/>
      <c r="K63" s="411"/>
      <c r="L63" s="410"/>
      <c r="M63" s="410"/>
      <c r="N63" s="410"/>
      <c r="O63" s="410"/>
      <c r="P63" s="411"/>
      <c r="R63" s="410"/>
      <c r="X63" s="411"/>
    </row>
    <row r="64" spans="1:24" ht="15" customHeight="1" x14ac:dyDescent="0.25">
      <c r="A64" s="438"/>
      <c r="B64" s="438"/>
      <c r="C64" s="439"/>
      <c r="D64" s="439"/>
      <c r="E64" s="439"/>
      <c r="F64" s="440"/>
      <c r="G64" s="411"/>
      <c r="H64" s="411"/>
      <c r="I64" s="411"/>
      <c r="J64" s="411"/>
      <c r="K64" s="411"/>
      <c r="L64" s="410"/>
      <c r="M64" s="410"/>
      <c r="N64" s="410"/>
      <c r="O64" s="410"/>
      <c r="P64" s="411"/>
      <c r="R64" s="410"/>
      <c r="X64" s="411"/>
    </row>
    <row r="65" spans="1:25" ht="15" customHeight="1" x14ac:dyDescent="0.25">
      <c r="A65" s="413" t="str">
        <f>IF(OR(G65="",G65=$G$124),"→","")</f>
        <v>→</v>
      </c>
      <c r="B65" s="647" t="s">
        <v>700</v>
      </c>
      <c r="C65" s="647"/>
      <c r="D65" s="647"/>
      <c r="E65" s="647"/>
      <c r="F65" s="647"/>
      <c r="G65" s="660" t="s">
        <v>654</v>
      </c>
      <c r="H65" s="661"/>
      <c r="I65" s="411"/>
      <c r="J65" s="411"/>
      <c r="K65" s="411"/>
      <c r="L65" s="410"/>
      <c r="M65" s="410"/>
      <c r="N65" s="410"/>
      <c r="O65" s="410"/>
      <c r="P65" s="411"/>
      <c r="R65" s="410"/>
      <c r="X65" s="411"/>
    </row>
    <row r="66" spans="1:25" x14ac:dyDescent="0.25">
      <c r="A66" s="438"/>
      <c r="B66" s="438"/>
      <c r="C66" s="440"/>
      <c r="D66" s="440"/>
      <c r="E66" s="440"/>
      <c r="F66" s="440"/>
      <c r="G66" s="411"/>
      <c r="H66" s="411"/>
      <c r="I66" s="411"/>
      <c r="J66" s="411"/>
      <c r="K66" s="411"/>
      <c r="L66" s="410"/>
      <c r="M66" s="410"/>
      <c r="N66" s="410"/>
      <c r="O66" s="410"/>
      <c r="P66" s="411"/>
      <c r="R66" s="410"/>
      <c r="X66" s="411"/>
    </row>
    <row r="67" spans="1:25" ht="15" customHeight="1" x14ac:dyDescent="0.25">
      <c r="A67" s="413" t="str">
        <f>IF(OR(G67="",G67=$G$124),"→","")</f>
        <v>→</v>
      </c>
      <c r="B67" s="647" t="s">
        <v>701</v>
      </c>
      <c r="C67" s="647"/>
      <c r="D67" s="647"/>
      <c r="E67" s="647"/>
      <c r="F67" s="647"/>
      <c r="G67" s="662" t="s">
        <v>654</v>
      </c>
      <c r="H67" s="663"/>
      <c r="I67" s="423"/>
      <c r="J67" s="423"/>
      <c r="K67" s="423"/>
      <c r="L67" s="423"/>
      <c r="M67" s="423"/>
      <c r="N67" s="423"/>
      <c r="O67" s="423"/>
      <c r="P67" s="411"/>
      <c r="R67" s="410"/>
      <c r="X67" s="411"/>
    </row>
    <row r="68" spans="1:25" ht="15" customHeight="1" x14ac:dyDescent="0.25">
      <c r="A68" s="438"/>
      <c r="B68" s="647" t="s">
        <v>702</v>
      </c>
      <c r="C68" s="647"/>
      <c r="D68" s="647"/>
      <c r="E68" s="647"/>
      <c r="F68" s="647"/>
      <c r="G68" s="657" t="s">
        <v>703</v>
      </c>
      <c r="H68" s="658"/>
      <c r="I68" s="658"/>
      <c r="J68" s="658"/>
      <c r="K68" s="658"/>
      <c r="L68" s="658"/>
      <c r="M68" s="658"/>
      <c r="N68" s="658"/>
      <c r="O68" s="659"/>
      <c r="P68" s="411"/>
      <c r="R68" s="410"/>
      <c r="X68" s="411"/>
    </row>
    <row r="69" spans="1:25" x14ac:dyDescent="0.25">
      <c r="A69" s="438"/>
      <c r="B69" s="438"/>
      <c r="C69" s="411"/>
      <c r="D69" s="411"/>
      <c r="E69" s="411"/>
      <c r="F69" s="411"/>
      <c r="G69" s="411"/>
      <c r="H69" s="410"/>
      <c r="I69" s="411"/>
      <c r="J69" s="411"/>
      <c r="K69" s="411"/>
      <c r="L69" s="410"/>
      <c r="M69" s="410"/>
      <c r="N69" s="410"/>
      <c r="O69" s="410"/>
      <c r="P69" s="411"/>
      <c r="R69" s="410"/>
      <c r="X69" s="411"/>
    </row>
    <row r="70" spans="1:25" ht="15" customHeight="1" x14ac:dyDescent="0.25">
      <c r="A70" s="438"/>
      <c r="B70" s="648" t="s">
        <v>723</v>
      </c>
      <c r="C70" s="649"/>
      <c r="D70" s="649"/>
      <c r="E70" s="649"/>
      <c r="F70" s="649"/>
      <c r="G70" s="650"/>
      <c r="H70" s="410"/>
      <c r="I70" s="411"/>
      <c r="J70" s="411"/>
      <c r="K70" s="411"/>
      <c r="L70" s="410"/>
      <c r="M70" s="410"/>
      <c r="N70" s="410"/>
      <c r="O70" s="410"/>
      <c r="P70" s="411"/>
      <c r="R70" s="410"/>
      <c r="X70" s="411"/>
    </row>
    <row r="71" spans="1:25" ht="15" customHeight="1" x14ac:dyDescent="0.25">
      <c r="A71" s="413" t="str">
        <f>IF(AND(OR(B71=G124,G71=""),OR(G63=G125,G65=G125,G67=G125)),"→","")</f>
        <v/>
      </c>
      <c r="B71" s="654" t="s">
        <v>654</v>
      </c>
      <c r="C71" s="655"/>
      <c r="D71" s="655"/>
      <c r="E71" s="655"/>
      <c r="F71" s="656"/>
      <c r="G71" s="477"/>
      <c r="H71" s="441" t="s">
        <v>706</v>
      </c>
      <c r="I71" s="411"/>
      <c r="J71" s="411"/>
      <c r="K71" s="411"/>
      <c r="L71" s="410"/>
      <c r="M71" s="410"/>
      <c r="N71" s="410"/>
      <c r="O71" s="410"/>
      <c r="P71" s="411"/>
      <c r="R71" s="410"/>
      <c r="X71" s="411"/>
    </row>
    <row r="72" spans="1:25" x14ac:dyDescent="0.25">
      <c r="A72" s="438"/>
      <c r="B72" s="438"/>
      <c r="C72" s="438"/>
      <c r="D72" s="438"/>
      <c r="E72" s="438"/>
      <c r="F72" s="438"/>
      <c r="G72" s="442"/>
      <c r="H72" s="410"/>
      <c r="I72" s="411"/>
      <c r="J72" s="411"/>
      <c r="K72" s="411"/>
      <c r="L72" s="410"/>
      <c r="M72" s="410"/>
      <c r="N72" s="410"/>
      <c r="O72" s="410"/>
      <c r="P72" s="411"/>
      <c r="R72" s="410"/>
      <c r="X72" s="411"/>
    </row>
    <row r="73" spans="1:25" x14ac:dyDescent="0.25">
      <c r="A73" s="438"/>
      <c r="B73" s="653" t="s">
        <v>705</v>
      </c>
      <c r="C73" s="653"/>
      <c r="D73" s="653"/>
      <c r="E73" s="653"/>
      <c r="F73" s="653"/>
      <c r="G73" s="443" t="str">
        <f>IF(G71&gt;=0.75,5,IF(G71&gt;=0.5,4,IF(G71&gt;=0.25,3,IF(OR(G71=0,G71=""),I134,IF(G71&lt;0.25,"Upto level 2")))))</f>
        <v>Baseline</v>
      </c>
      <c r="H73" s="444" t="s">
        <v>897</v>
      </c>
      <c r="I73" s="411"/>
      <c r="J73" s="411"/>
      <c r="K73" s="411"/>
      <c r="L73" s="410"/>
      <c r="M73" s="410"/>
      <c r="N73" s="410"/>
      <c r="O73" s="410"/>
      <c r="P73" s="411"/>
      <c r="R73" s="410"/>
      <c r="X73" s="411"/>
    </row>
    <row r="74" spans="1:25" ht="24.95" customHeight="1" x14ac:dyDescent="0.25">
      <c r="C74" s="410"/>
      <c r="D74" s="410"/>
      <c r="E74" s="411"/>
      <c r="F74" s="411"/>
      <c r="G74" s="411"/>
      <c r="H74" s="410"/>
      <c r="I74" s="411"/>
      <c r="J74" s="411"/>
      <c r="K74" s="411"/>
      <c r="L74" s="410"/>
      <c r="M74" s="410"/>
      <c r="N74" s="410"/>
      <c r="O74" s="410"/>
      <c r="P74" s="411"/>
      <c r="R74" s="410"/>
      <c r="X74" s="411"/>
      <c r="Y74" s="411"/>
    </row>
    <row r="75" spans="1:25" ht="24.95" customHeight="1" x14ac:dyDescent="0.25">
      <c r="B75" s="534" t="s">
        <v>1003</v>
      </c>
      <c r="C75" s="534"/>
      <c r="D75" s="534"/>
      <c r="E75" s="534"/>
      <c r="F75" s="534"/>
      <c r="G75" s="534"/>
      <c r="H75" s="534"/>
      <c r="I75" s="534"/>
      <c r="J75" s="534"/>
      <c r="K75" s="534"/>
      <c r="L75" s="534"/>
      <c r="M75" s="534"/>
      <c r="N75" s="534"/>
      <c r="O75" s="534"/>
      <c r="P75" s="411"/>
      <c r="R75" s="410"/>
      <c r="X75" s="411"/>
      <c r="Y75" s="411"/>
    </row>
    <row r="76" spans="1:25" ht="24.95" customHeight="1" x14ac:dyDescent="0.25">
      <c r="C76" s="445"/>
      <c r="D76" s="445"/>
      <c r="E76" s="411"/>
      <c r="F76" s="411"/>
      <c r="G76" s="411"/>
      <c r="H76" s="436"/>
      <c r="I76" s="411"/>
      <c r="J76" s="411"/>
      <c r="K76" s="411"/>
      <c r="L76" s="411"/>
      <c r="M76" s="411"/>
      <c r="N76" s="411"/>
      <c r="O76" s="411"/>
      <c r="P76" s="411"/>
    </row>
    <row r="77" spans="1:25" ht="26.25" customHeight="1" x14ac:dyDescent="0.25">
      <c r="B77" s="644" t="s">
        <v>721</v>
      </c>
      <c r="C77" s="645"/>
      <c r="D77" s="651" t="str">
        <f>IF(ISERROR(I144),C138,I144)</f>
        <v>Requires building information</v>
      </c>
      <c r="E77" s="652"/>
      <c r="F77" s="415"/>
      <c r="G77" s="411"/>
      <c r="H77" s="410"/>
      <c r="I77" s="411"/>
      <c r="J77" s="411"/>
      <c r="K77" s="411"/>
      <c r="L77" s="411"/>
      <c r="M77" s="411"/>
      <c r="N77" s="411"/>
      <c r="O77" s="411"/>
      <c r="P77" s="411"/>
    </row>
    <row r="78" spans="1:25" x14ac:dyDescent="0.25">
      <c r="C78" s="410"/>
      <c r="D78" s="410"/>
      <c r="E78" s="411"/>
      <c r="F78" s="411"/>
      <c r="G78" s="411"/>
      <c r="H78" s="410"/>
      <c r="I78" s="411"/>
      <c r="J78" s="411"/>
      <c r="K78" s="411"/>
      <c r="L78" s="411"/>
      <c r="M78" s="411"/>
      <c r="N78" s="411"/>
      <c r="O78" s="411"/>
      <c r="P78" s="411"/>
    </row>
    <row r="79" spans="1:25" ht="24.95" customHeight="1" x14ac:dyDescent="0.25">
      <c r="B79" s="644" t="s">
        <v>1004</v>
      </c>
      <c r="C79" s="645"/>
      <c r="D79" s="446">
        <f>IF(AND(D59=5,G71&gt;0.95),1,0)</f>
        <v>0</v>
      </c>
      <c r="E79" s="411"/>
      <c r="F79" s="411"/>
      <c r="G79" s="411"/>
      <c r="H79" s="410"/>
      <c r="I79" s="411"/>
      <c r="J79" s="411"/>
      <c r="K79" s="411"/>
      <c r="L79" s="411"/>
      <c r="M79" s="411"/>
      <c r="N79" s="411"/>
      <c r="O79" s="411"/>
      <c r="P79" s="411"/>
    </row>
    <row r="80" spans="1:25" x14ac:dyDescent="0.25">
      <c r="C80" s="410"/>
      <c r="D80" s="410"/>
      <c r="E80" s="411"/>
      <c r="F80" s="411"/>
      <c r="G80" s="411"/>
      <c r="H80" s="410"/>
      <c r="I80" s="411"/>
      <c r="J80" s="411"/>
      <c r="K80" s="411"/>
      <c r="L80" s="411"/>
      <c r="M80" s="411"/>
      <c r="N80" s="411"/>
      <c r="O80" s="411"/>
      <c r="P80" s="411"/>
    </row>
    <row r="81" spans="3:18" ht="15.75" customHeight="1" x14ac:dyDescent="0.25">
      <c r="C81" s="447"/>
      <c r="D81" s="410"/>
      <c r="E81" s="411"/>
      <c r="F81" s="411"/>
      <c r="G81" s="411"/>
      <c r="H81" s="410"/>
      <c r="I81" s="411"/>
      <c r="J81" s="411"/>
      <c r="K81" s="411"/>
      <c r="L81" s="411"/>
      <c r="M81" s="411"/>
      <c r="N81" s="411"/>
      <c r="O81" s="411"/>
      <c r="P81" s="411"/>
    </row>
    <row r="82" spans="3:18" hidden="1" x14ac:dyDescent="0.25">
      <c r="C82" s="448" t="s">
        <v>693</v>
      </c>
      <c r="D82" s="429">
        <v>2</v>
      </c>
      <c r="E82" s="429">
        <v>3</v>
      </c>
      <c r="F82" s="429">
        <v>4</v>
      </c>
      <c r="G82" s="429">
        <v>5</v>
      </c>
      <c r="H82" s="429">
        <v>6</v>
      </c>
      <c r="I82" s="429">
        <v>7</v>
      </c>
      <c r="J82" s="429">
        <v>8</v>
      </c>
      <c r="K82" s="429">
        <v>9</v>
      </c>
      <c r="L82" s="429">
        <v>10</v>
      </c>
      <c r="M82" s="429">
        <v>11</v>
      </c>
      <c r="N82" s="429">
        <v>12</v>
      </c>
      <c r="O82" s="449">
        <v>13</v>
      </c>
      <c r="P82" s="429"/>
      <c r="Q82" s="450"/>
      <c r="R82" s="450"/>
    </row>
    <row r="83" spans="3:18" ht="45" hidden="1" x14ac:dyDescent="0.25">
      <c r="C83" s="450" t="s">
        <v>640</v>
      </c>
      <c r="D83" s="449" t="s">
        <v>281</v>
      </c>
      <c r="E83" s="449" t="s">
        <v>282</v>
      </c>
      <c r="F83" s="449" t="s">
        <v>278</v>
      </c>
      <c r="G83" s="449" t="s">
        <v>681</v>
      </c>
      <c r="H83" s="429" t="s">
        <v>79</v>
      </c>
      <c r="I83" s="449" t="s">
        <v>852</v>
      </c>
      <c r="J83" s="449" t="s">
        <v>688</v>
      </c>
      <c r="K83" s="449" t="s">
        <v>682</v>
      </c>
      <c r="L83" s="449" t="s">
        <v>685</v>
      </c>
      <c r="M83" s="449" t="s">
        <v>686</v>
      </c>
      <c r="N83" s="449" t="s">
        <v>684</v>
      </c>
      <c r="O83" s="449" t="s">
        <v>683</v>
      </c>
      <c r="P83" s="429" t="s">
        <v>5</v>
      </c>
      <c r="Q83" s="429" t="s">
        <v>157</v>
      </c>
      <c r="R83" s="450" t="s">
        <v>860</v>
      </c>
    </row>
    <row r="84" spans="3:18" hidden="1" x14ac:dyDescent="0.25">
      <c r="C84" s="450"/>
      <c r="D84" s="429">
        <v>36.35</v>
      </c>
      <c r="E84" s="429">
        <v>3.5</v>
      </c>
      <c r="F84" s="429">
        <v>15.42</v>
      </c>
      <c r="G84" s="429">
        <v>42</v>
      </c>
      <c r="H84" s="429">
        <v>36</v>
      </c>
      <c r="I84" s="429">
        <v>4.7699999999999996</v>
      </c>
      <c r="J84" s="429" t="s">
        <v>280</v>
      </c>
      <c r="K84" s="429">
        <v>0.34</v>
      </c>
      <c r="L84" s="429">
        <v>4.9400000000000004</v>
      </c>
      <c r="M84" s="449">
        <v>4.08</v>
      </c>
      <c r="N84" s="429">
        <v>8</v>
      </c>
      <c r="O84" s="429">
        <v>49.82</v>
      </c>
      <c r="P84" s="429">
        <f>SUM(D84:O84)</f>
        <v>205.22000000000003</v>
      </c>
      <c r="Q84" s="429" t="s">
        <v>680</v>
      </c>
      <c r="R84" s="450" t="s">
        <v>687</v>
      </c>
    </row>
    <row r="85" spans="3:18" hidden="1" x14ac:dyDescent="0.25">
      <c r="C85" s="450" t="s">
        <v>995</v>
      </c>
      <c r="D85" s="451">
        <f t="shared" ref="D85:I85" si="14">D84/$P$84</f>
        <v>0.17712698567391091</v>
      </c>
      <c r="E85" s="451">
        <f t="shared" si="14"/>
        <v>1.7054867946593898E-2</v>
      </c>
      <c r="F85" s="451">
        <f t="shared" si="14"/>
        <v>7.51388753532794E-2</v>
      </c>
      <c r="G85" s="451">
        <f t="shared" si="14"/>
        <v>0.20465841535912677</v>
      </c>
      <c r="H85" s="451">
        <f t="shared" si="14"/>
        <v>0.17542149887925151</v>
      </c>
      <c r="I85" s="451">
        <f t="shared" si="14"/>
        <v>2.3243348601500822E-2</v>
      </c>
      <c r="J85" s="451" t="s">
        <v>280</v>
      </c>
      <c r="K85" s="451">
        <f>K84/$P$84</f>
        <v>1.6567586005262645E-3</v>
      </c>
      <c r="L85" s="451">
        <f>L84/$P$84</f>
        <v>2.407172790176396E-2</v>
      </c>
      <c r="M85" s="451">
        <f>M84/$P$84</f>
        <v>1.988110320631517E-2</v>
      </c>
      <c r="N85" s="451">
        <f>N84/$P$84</f>
        <v>3.8982555306500334E-2</v>
      </c>
      <c r="O85" s="451">
        <f>O84/$P$84</f>
        <v>0.24276386317123083</v>
      </c>
      <c r="P85" s="452">
        <f>SUM(D85:O85)</f>
        <v>0.99999999999999978</v>
      </c>
      <c r="Q85" s="429"/>
      <c r="R85" s="450"/>
    </row>
    <row r="86" spans="3:18" hidden="1" x14ac:dyDescent="0.25">
      <c r="C86" s="450"/>
      <c r="D86" s="453">
        <f>D84</f>
        <v>36.35</v>
      </c>
      <c r="E86" s="453">
        <f t="shared" ref="E86:O86" si="15">E84</f>
        <v>3.5</v>
      </c>
      <c r="F86" s="453">
        <f t="shared" si="15"/>
        <v>15.42</v>
      </c>
      <c r="G86" s="453">
        <f t="shared" si="15"/>
        <v>42</v>
      </c>
      <c r="H86" s="453">
        <f t="shared" si="15"/>
        <v>36</v>
      </c>
      <c r="I86" s="453">
        <f t="shared" si="15"/>
        <v>4.7699999999999996</v>
      </c>
      <c r="J86" s="453" t="str">
        <f t="shared" si="15"/>
        <v>N/A</v>
      </c>
      <c r="K86" s="453">
        <f t="shared" si="15"/>
        <v>0.34</v>
      </c>
      <c r="L86" s="453">
        <f t="shared" si="15"/>
        <v>4.9400000000000004</v>
      </c>
      <c r="M86" s="453">
        <f t="shared" si="15"/>
        <v>4.08</v>
      </c>
      <c r="N86" s="453">
        <f t="shared" si="15"/>
        <v>8</v>
      </c>
      <c r="O86" s="453">
        <f t="shared" si="15"/>
        <v>49.82</v>
      </c>
      <c r="P86" s="453">
        <f>P84</f>
        <v>205.22000000000003</v>
      </c>
      <c r="Q86" s="429" t="s">
        <v>680</v>
      </c>
      <c r="R86" s="450" t="s">
        <v>687</v>
      </c>
    </row>
    <row r="87" spans="3:18" hidden="1" x14ac:dyDescent="0.25">
      <c r="C87" s="450" t="s">
        <v>853</v>
      </c>
      <c r="D87" s="451">
        <f>D85</f>
        <v>0.17712698567391091</v>
      </c>
      <c r="E87" s="451">
        <f t="shared" ref="E87:O87" si="16">E85</f>
        <v>1.7054867946593898E-2</v>
      </c>
      <c r="F87" s="451">
        <f t="shared" si="16"/>
        <v>7.51388753532794E-2</v>
      </c>
      <c r="G87" s="451">
        <f t="shared" si="16"/>
        <v>0.20465841535912677</v>
      </c>
      <c r="H87" s="451">
        <f t="shared" si="16"/>
        <v>0.17542149887925151</v>
      </c>
      <c r="I87" s="451">
        <f t="shared" si="16"/>
        <v>2.3243348601500822E-2</v>
      </c>
      <c r="J87" s="451" t="str">
        <f t="shared" si="16"/>
        <v>N/A</v>
      </c>
      <c r="K87" s="451">
        <f t="shared" si="16"/>
        <v>1.6567586005262645E-3</v>
      </c>
      <c r="L87" s="451">
        <f t="shared" si="16"/>
        <v>2.407172790176396E-2</v>
      </c>
      <c r="M87" s="451">
        <f t="shared" si="16"/>
        <v>1.988110320631517E-2</v>
      </c>
      <c r="N87" s="451">
        <f t="shared" si="16"/>
        <v>3.8982555306500334E-2</v>
      </c>
      <c r="O87" s="451">
        <f t="shared" si="16"/>
        <v>0.24276386317123083</v>
      </c>
      <c r="P87" s="451">
        <f>P85</f>
        <v>0.99999999999999978</v>
      </c>
      <c r="Q87" s="429"/>
      <c r="R87" s="450"/>
    </row>
    <row r="88" spans="3:18" hidden="1" x14ac:dyDescent="0.25">
      <c r="C88" s="450"/>
      <c r="D88" s="429">
        <f>D84</f>
        <v>36.35</v>
      </c>
      <c r="E88" s="429">
        <f t="shared" ref="E88:O88" si="17">E84</f>
        <v>3.5</v>
      </c>
      <c r="F88" s="429">
        <f t="shared" si="17"/>
        <v>15.42</v>
      </c>
      <c r="G88" s="429">
        <f t="shared" si="17"/>
        <v>42</v>
      </c>
      <c r="H88" s="429">
        <f t="shared" si="17"/>
        <v>36</v>
      </c>
      <c r="I88" s="429">
        <f t="shared" si="17"/>
        <v>4.7699999999999996</v>
      </c>
      <c r="J88" s="429" t="str">
        <f t="shared" si="17"/>
        <v>N/A</v>
      </c>
      <c r="K88" s="429">
        <f t="shared" si="17"/>
        <v>0.34</v>
      </c>
      <c r="L88" s="429">
        <f t="shared" si="17"/>
        <v>4.9400000000000004</v>
      </c>
      <c r="M88" s="429">
        <f t="shared" si="17"/>
        <v>4.08</v>
      </c>
      <c r="N88" s="429">
        <f t="shared" si="17"/>
        <v>8</v>
      </c>
      <c r="O88" s="429">
        <f t="shared" si="17"/>
        <v>49.82</v>
      </c>
      <c r="P88" s="429">
        <f>P84</f>
        <v>205.22000000000003</v>
      </c>
      <c r="Q88" s="429"/>
      <c r="R88" s="450"/>
    </row>
    <row r="89" spans="3:18" hidden="1" x14ac:dyDescent="0.25">
      <c r="C89" s="450" t="s">
        <v>733</v>
      </c>
      <c r="D89" s="451">
        <f>D85</f>
        <v>0.17712698567391091</v>
      </c>
      <c r="E89" s="451">
        <f t="shared" ref="E89:O89" si="18">E85</f>
        <v>1.7054867946593898E-2</v>
      </c>
      <c r="F89" s="451">
        <f t="shared" si="18"/>
        <v>7.51388753532794E-2</v>
      </c>
      <c r="G89" s="451">
        <f t="shared" si="18"/>
        <v>0.20465841535912677</v>
      </c>
      <c r="H89" s="451">
        <f t="shared" si="18"/>
        <v>0.17542149887925151</v>
      </c>
      <c r="I89" s="451">
        <f t="shared" si="18"/>
        <v>2.3243348601500822E-2</v>
      </c>
      <c r="J89" s="451" t="str">
        <f t="shared" si="18"/>
        <v>N/A</v>
      </c>
      <c r="K89" s="451">
        <f t="shared" si="18"/>
        <v>1.6567586005262645E-3</v>
      </c>
      <c r="L89" s="451">
        <f t="shared" si="18"/>
        <v>2.407172790176396E-2</v>
      </c>
      <c r="M89" s="451">
        <f t="shared" si="18"/>
        <v>1.988110320631517E-2</v>
      </c>
      <c r="N89" s="451">
        <f t="shared" si="18"/>
        <v>3.8982555306500334E-2</v>
      </c>
      <c r="O89" s="451">
        <f t="shared" si="18"/>
        <v>0.24276386317123083</v>
      </c>
      <c r="P89" s="451">
        <f>P85</f>
        <v>0.99999999999999978</v>
      </c>
      <c r="Q89" s="429" t="s">
        <v>862</v>
      </c>
      <c r="R89" s="450" t="s">
        <v>865</v>
      </c>
    </row>
    <row r="90" spans="3:18" hidden="1" x14ac:dyDescent="0.25">
      <c r="C90" s="450"/>
      <c r="D90" s="422">
        <f>D104</f>
        <v>187.98306956201696</v>
      </c>
      <c r="E90" s="422">
        <f t="shared" ref="E90:O90" si="19">E104</f>
        <v>28.197460434302542</v>
      </c>
      <c r="F90" s="422">
        <f t="shared" si="19"/>
        <v>121.56238498343762</v>
      </c>
      <c r="G90" s="422">
        <f t="shared" si="19"/>
        <v>151.26370997423632</v>
      </c>
      <c r="H90" s="422" t="b">
        <f t="shared" si="19"/>
        <v>0</v>
      </c>
      <c r="I90" s="422">
        <f t="shared" si="19"/>
        <v>68.17519322782482</v>
      </c>
      <c r="J90" s="422" t="str">
        <f t="shared" si="19"/>
        <v>N/A</v>
      </c>
      <c r="K90" s="422">
        <f t="shared" si="19"/>
        <v>8.5218991534781026</v>
      </c>
      <c r="L90" s="422">
        <f t="shared" si="19"/>
        <v>77.449024659550986</v>
      </c>
      <c r="M90" s="422">
        <f t="shared" si="19"/>
        <v>28.197460434302542</v>
      </c>
      <c r="N90" s="422">
        <f t="shared" si="19"/>
        <v>9.649797570850204</v>
      </c>
      <c r="O90" s="422">
        <f t="shared" si="19"/>
        <v>0</v>
      </c>
      <c r="P90" s="422">
        <f>P104</f>
        <v>681.00000000000011</v>
      </c>
      <c r="Q90" s="429" t="s">
        <v>862</v>
      </c>
      <c r="R90" s="450"/>
    </row>
    <row r="91" spans="3:18" hidden="1" x14ac:dyDescent="0.25">
      <c r="C91" s="450" t="s">
        <v>732</v>
      </c>
      <c r="D91" s="433">
        <f>D105</f>
        <v>0.27603974972396028</v>
      </c>
      <c r="E91" s="433">
        <f t="shared" ref="E91:O91" si="20">E105</f>
        <v>4.1405962458594035E-2</v>
      </c>
      <c r="F91" s="433">
        <f t="shared" si="20"/>
        <v>0.17850570482149428</v>
      </c>
      <c r="G91" s="433">
        <f t="shared" si="20"/>
        <v>0.22211998527788002</v>
      </c>
      <c r="H91" s="433" t="str">
        <f t="shared" si="20"/>
        <v>N/A</v>
      </c>
      <c r="I91" s="433">
        <f t="shared" si="20"/>
        <v>0.10011041589988959</v>
      </c>
      <c r="J91" s="433" t="str">
        <f t="shared" si="20"/>
        <v>N/A</v>
      </c>
      <c r="K91" s="433">
        <f t="shared" si="20"/>
        <v>1.2513801987486198E-2</v>
      </c>
      <c r="L91" s="433">
        <f t="shared" si="20"/>
        <v>0.11372837688627162</v>
      </c>
      <c r="M91" s="433">
        <f t="shared" si="20"/>
        <v>4.1405962458594035E-2</v>
      </c>
      <c r="N91" s="433">
        <f t="shared" si="20"/>
        <v>1.417004048582996E-2</v>
      </c>
      <c r="O91" s="433" t="str">
        <f t="shared" si="20"/>
        <v>N/A</v>
      </c>
      <c r="P91" s="433">
        <f>P105</f>
        <v>0.99999999999999989</v>
      </c>
      <c r="Q91" s="429"/>
      <c r="R91" s="450" t="s">
        <v>864</v>
      </c>
    </row>
    <row r="92" spans="3:18" hidden="1" x14ac:dyDescent="0.25">
      <c r="C92" s="450"/>
      <c r="D92" s="429">
        <v>3.665</v>
      </c>
      <c r="E92" s="429">
        <v>0.88500000000000001</v>
      </c>
      <c r="F92" s="429">
        <v>2.08</v>
      </c>
      <c r="G92" s="429" t="s">
        <v>280</v>
      </c>
      <c r="H92" s="429" t="s">
        <v>280</v>
      </c>
      <c r="I92" s="429" t="s">
        <v>280</v>
      </c>
      <c r="J92" s="429" t="s">
        <v>280</v>
      </c>
      <c r="K92" s="429" t="s">
        <v>280</v>
      </c>
      <c r="L92" s="429">
        <v>5.3999999999999999E-2</v>
      </c>
      <c r="M92" s="429" t="s">
        <v>280</v>
      </c>
      <c r="N92" s="429">
        <v>6.7000000000000004E-2</v>
      </c>
      <c r="O92" s="449" t="s">
        <v>280</v>
      </c>
      <c r="P92" s="422">
        <f t="shared" ref="P92:P101" si="21">SUM(D92:O92)</f>
        <v>6.7510000000000003</v>
      </c>
      <c r="Q92" s="429"/>
      <c r="R92" s="450"/>
    </row>
    <row r="93" spans="3:18" hidden="1" x14ac:dyDescent="0.25">
      <c r="C93" s="450" t="s">
        <v>898</v>
      </c>
      <c r="D93" s="454">
        <f>D92/$P$92</f>
        <v>0.54288253592060431</v>
      </c>
      <c r="E93" s="454">
        <f>E92/$P$92</f>
        <v>0.13109169011998223</v>
      </c>
      <c r="F93" s="454">
        <f>F92/$P$92</f>
        <v>0.30810250333283956</v>
      </c>
      <c r="G93" s="429" t="s">
        <v>280</v>
      </c>
      <c r="H93" s="429" t="s">
        <v>280</v>
      </c>
      <c r="I93" s="429" t="s">
        <v>280</v>
      </c>
      <c r="J93" s="429" t="s">
        <v>280</v>
      </c>
      <c r="K93" s="429" t="s">
        <v>280</v>
      </c>
      <c r="L93" s="454">
        <f>L92/$P$92</f>
        <v>7.9988149903717966E-3</v>
      </c>
      <c r="M93" s="429" t="s">
        <v>280</v>
      </c>
      <c r="N93" s="454">
        <f>N92/$P$92</f>
        <v>9.9244556362020446E-3</v>
      </c>
      <c r="O93" s="449" t="s">
        <v>280</v>
      </c>
      <c r="P93" s="433">
        <f t="shared" si="21"/>
        <v>0.99999999999999989</v>
      </c>
      <c r="Q93" s="429"/>
      <c r="R93" s="450" t="s">
        <v>687</v>
      </c>
    </row>
    <row r="94" spans="3:18" hidden="1" x14ac:dyDescent="0.25">
      <c r="C94" s="450"/>
      <c r="D94" s="429">
        <v>3.665</v>
      </c>
      <c r="E94" s="429">
        <v>0.88500000000000001</v>
      </c>
      <c r="F94" s="429">
        <v>2.08</v>
      </c>
      <c r="G94" s="429" t="s">
        <v>280</v>
      </c>
      <c r="H94" s="429" t="s">
        <v>280</v>
      </c>
      <c r="I94" s="429" t="s">
        <v>280</v>
      </c>
      <c r="J94" s="429" t="s">
        <v>280</v>
      </c>
      <c r="K94" s="429" t="s">
        <v>280</v>
      </c>
      <c r="L94" s="429">
        <v>5.3999999999999999E-2</v>
      </c>
      <c r="M94" s="429" t="s">
        <v>280</v>
      </c>
      <c r="N94" s="429">
        <v>6.7000000000000004E-2</v>
      </c>
      <c r="O94" s="449" t="s">
        <v>280</v>
      </c>
      <c r="P94" s="422">
        <f t="shared" si="21"/>
        <v>6.7510000000000003</v>
      </c>
      <c r="Q94" s="429" t="s">
        <v>724</v>
      </c>
      <c r="R94" s="450"/>
    </row>
    <row r="95" spans="3:18" hidden="1" x14ac:dyDescent="0.25">
      <c r="C95" s="450" t="s">
        <v>899</v>
      </c>
      <c r="D95" s="451">
        <f>D92/$P$92</f>
        <v>0.54288253592060431</v>
      </c>
      <c r="E95" s="451">
        <f>E92/$P$92</f>
        <v>0.13109169011998223</v>
      </c>
      <c r="F95" s="451">
        <f>F92/$P$92</f>
        <v>0.30810250333283956</v>
      </c>
      <c r="G95" s="429" t="s">
        <v>280</v>
      </c>
      <c r="H95" s="429" t="s">
        <v>280</v>
      </c>
      <c r="I95" s="429" t="s">
        <v>280</v>
      </c>
      <c r="J95" s="429" t="s">
        <v>280</v>
      </c>
      <c r="K95" s="429" t="s">
        <v>280</v>
      </c>
      <c r="L95" s="451">
        <f>L92/$P$92</f>
        <v>7.9988149903717966E-3</v>
      </c>
      <c r="M95" s="429" t="s">
        <v>280</v>
      </c>
      <c r="N95" s="451">
        <f>N92/$P$92</f>
        <v>9.9244556362020446E-3</v>
      </c>
      <c r="O95" s="449" t="s">
        <v>280</v>
      </c>
      <c r="P95" s="433">
        <f t="shared" si="21"/>
        <v>0.99999999999999989</v>
      </c>
      <c r="Q95" s="455"/>
      <c r="R95" s="450" t="s">
        <v>687</v>
      </c>
    </row>
    <row r="96" spans="3:18" hidden="1" x14ac:dyDescent="0.25">
      <c r="C96" s="450"/>
      <c r="D96" s="422">
        <v>44.1</v>
      </c>
      <c r="E96" s="422">
        <v>11</v>
      </c>
      <c r="F96" s="422">
        <v>7.41</v>
      </c>
      <c r="G96" s="422">
        <v>74.2</v>
      </c>
      <c r="H96" s="429" t="s">
        <v>280</v>
      </c>
      <c r="I96" s="429">
        <v>5.87</v>
      </c>
      <c r="J96" s="429" t="s">
        <v>280</v>
      </c>
      <c r="K96" s="429" t="s">
        <v>280</v>
      </c>
      <c r="L96" s="429">
        <v>2.4700000000000002</v>
      </c>
      <c r="M96" s="449">
        <v>3.63</v>
      </c>
      <c r="N96" s="422">
        <v>4</v>
      </c>
      <c r="O96" s="449" t="s">
        <v>280</v>
      </c>
      <c r="P96" s="422">
        <f t="shared" si="21"/>
        <v>152.68</v>
      </c>
      <c r="Q96" s="429" t="s">
        <v>727</v>
      </c>
      <c r="R96" s="450"/>
    </row>
    <row r="97" spans="3:18" hidden="1" x14ac:dyDescent="0.25">
      <c r="C97" s="450" t="s">
        <v>900</v>
      </c>
      <c r="D97" s="451">
        <f>D96/$P$96</f>
        <v>0.28883940267225572</v>
      </c>
      <c r="E97" s="451">
        <f>E96/$P$96</f>
        <v>7.2046109510086456E-2</v>
      </c>
      <c r="F97" s="451">
        <f>F96/$P$96</f>
        <v>4.8532879224521874E-2</v>
      </c>
      <c r="G97" s="451">
        <f>G96/$P$96</f>
        <v>0.48598375687712864</v>
      </c>
      <c r="H97" s="429" t="s">
        <v>280</v>
      </c>
      <c r="I97" s="451">
        <f>I96/$P$96</f>
        <v>3.8446423893109774E-2</v>
      </c>
      <c r="J97" s="429" t="s">
        <v>280</v>
      </c>
      <c r="K97" s="429" t="s">
        <v>280</v>
      </c>
      <c r="L97" s="451">
        <f>L96/$P$96</f>
        <v>1.617762640817396E-2</v>
      </c>
      <c r="M97" s="451">
        <f>M96/$P$96</f>
        <v>2.3775216138328528E-2</v>
      </c>
      <c r="N97" s="451">
        <f>N96/$P$96</f>
        <v>2.6198585276395073E-2</v>
      </c>
      <c r="O97" s="449" t="s">
        <v>280</v>
      </c>
      <c r="P97" s="433">
        <f t="shared" si="21"/>
        <v>1.0000000000000002</v>
      </c>
      <c r="Q97" s="455"/>
      <c r="R97" s="450" t="s">
        <v>725</v>
      </c>
    </row>
    <row r="98" spans="3:18" hidden="1" x14ac:dyDescent="0.25">
      <c r="C98" s="450"/>
      <c r="D98" s="429">
        <f>D88*0.4</f>
        <v>14.540000000000001</v>
      </c>
      <c r="E98" s="429">
        <f>E88*0.4</f>
        <v>1.4000000000000001</v>
      </c>
      <c r="F98" s="429">
        <f>F88*0.4</f>
        <v>6.1680000000000001</v>
      </c>
      <c r="G98" s="429" t="s">
        <v>280</v>
      </c>
      <c r="H98" s="429" t="s">
        <v>280</v>
      </c>
      <c r="I98" s="429" t="s">
        <v>280</v>
      </c>
      <c r="J98" s="429" t="s">
        <v>280</v>
      </c>
      <c r="K98" s="429" t="s">
        <v>280</v>
      </c>
      <c r="L98" s="449" t="s">
        <v>280</v>
      </c>
      <c r="M98" s="449" t="s">
        <v>280</v>
      </c>
      <c r="N98" s="449">
        <f>N88*0.4</f>
        <v>3.2</v>
      </c>
      <c r="O98" s="449" t="s">
        <v>280</v>
      </c>
      <c r="P98" s="422">
        <f t="shared" si="21"/>
        <v>25.308</v>
      </c>
      <c r="Q98" s="429" t="s">
        <v>726</v>
      </c>
      <c r="R98" s="450"/>
    </row>
    <row r="99" spans="3:18" hidden="1" x14ac:dyDescent="0.25">
      <c r="C99" s="450" t="s">
        <v>857</v>
      </c>
      <c r="D99" s="451">
        <f>D98/$P$98</f>
        <v>0.57452189031136403</v>
      </c>
      <c r="E99" s="451">
        <f>E98/$P$98</f>
        <v>5.5318476371107955E-2</v>
      </c>
      <c r="F99" s="451">
        <f>F98/$P$98</f>
        <v>0.24371740161213845</v>
      </c>
      <c r="G99" s="429" t="s">
        <v>280</v>
      </c>
      <c r="H99" s="429" t="s">
        <v>280</v>
      </c>
      <c r="I99" s="429" t="s">
        <v>280</v>
      </c>
      <c r="J99" s="429" t="s">
        <v>280</v>
      </c>
      <c r="K99" s="429" t="s">
        <v>280</v>
      </c>
      <c r="L99" s="429" t="s">
        <v>280</v>
      </c>
      <c r="M99" s="429" t="s">
        <v>280</v>
      </c>
      <c r="N99" s="451">
        <f>N98/$P$98</f>
        <v>0.1264422317053896</v>
      </c>
      <c r="O99" s="449" t="s">
        <v>280</v>
      </c>
      <c r="P99" s="433">
        <f t="shared" si="21"/>
        <v>1</v>
      </c>
      <c r="Q99" s="455"/>
      <c r="R99" s="450" t="s">
        <v>730</v>
      </c>
    </row>
    <row r="100" spans="3:18" hidden="1" x14ac:dyDescent="0.25">
      <c r="C100" s="450"/>
      <c r="D100" s="453">
        <f>D88*0.7</f>
        <v>25.445</v>
      </c>
      <c r="E100" s="453">
        <f>E88*0.7</f>
        <v>2.4499999999999997</v>
      </c>
      <c r="F100" s="453">
        <f>F88*0.7</f>
        <v>10.793999999999999</v>
      </c>
      <c r="G100" s="429" t="s">
        <v>280</v>
      </c>
      <c r="H100" s="429" t="s">
        <v>280</v>
      </c>
      <c r="I100" s="429" t="s">
        <v>280</v>
      </c>
      <c r="J100" s="429" t="s">
        <v>280</v>
      </c>
      <c r="K100" s="429" t="s">
        <v>280</v>
      </c>
      <c r="L100" s="453">
        <f>L88*0.7</f>
        <v>3.4580000000000002</v>
      </c>
      <c r="M100" s="453">
        <f>M88*0.7</f>
        <v>2.8559999999999999</v>
      </c>
      <c r="N100" s="453">
        <f>N88*0.7</f>
        <v>5.6</v>
      </c>
      <c r="O100" s="449" t="s">
        <v>280</v>
      </c>
      <c r="P100" s="422">
        <f t="shared" si="21"/>
        <v>50.603000000000002</v>
      </c>
      <c r="Q100" s="429" t="s">
        <v>726</v>
      </c>
      <c r="R100" s="450"/>
    </row>
    <row r="101" spans="3:18" hidden="1" x14ac:dyDescent="0.25">
      <c r="C101" s="581" t="s">
        <v>1008</v>
      </c>
      <c r="D101" s="451">
        <f>D100/$P$100</f>
        <v>0.5028358002489971</v>
      </c>
      <c r="E101" s="451">
        <f>E100/$P$100</f>
        <v>4.8416101812145521E-2</v>
      </c>
      <c r="F101" s="451">
        <f>F100/$P$100</f>
        <v>0.21330751141236681</v>
      </c>
      <c r="G101" s="429" t="s">
        <v>280</v>
      </c>
      <c r="H101" s="429" t="s">
        <v>280</v>
      </c>
      <c r="I101" s="429" t="s">
        <v>280</v>
      </c>
      <c r="J101" s="429" t="s">
        <v>280</v>
      </c>
      <c r="K101" s="429" t="s">
        <v>280</v>
      </c>
      <c r="L101" s="451">
        <f>L100/$P$100</f>
        <v>6.8335869414856823E-2</v>
      </c>
      <c r="M101" s="451">
        <f>M100/$P$100</f>
        <v>5.6439341541015348E-2</v>
      </c>
      <c r="N101" s="451">
        <f>N100/$P$100</f>
        <v>0.11066537557061833</v>
      </c>
      <c r="O101" s="449" t="s">
        <v>280</v>
      </c>
      <c r="P101" s="433">
        <f t="shared" si="21"/>
        <v>0.99999999999999989</v>
      </c>
      <c r="Q101" s="456"/>
      <c r="R101" s="450" t="s">
        <v>731</v>
      </c>
    </row>
    <row r="102" spans="3:18" hidden="1" x14ac:dyDescent="0.25">
      <c r="C102" s="450"/>
      <c r="D102" s="453">
        <f>D104</f>
        <v>187.98306956201696</v>
      </c>
      <c r="E102" s="453">
        <f t="shared" ref="E102:O102" si="22">E104</f>
        <v>28.197460434302542</v>
      </c>
      <c r="F102" s="453">
        <f t="shared" si="22"/>
        <v>121.56238498343762</v>
      </c>
      <c r="G102" s="453">
        <f t="shared" si="22"/>
        <v>151.26370997423632</v>
      </c>
      <c r="H102" s="453" t="b">
        <f t="shared" si="22"/>
        <v>0</v>
      </c>
      <c r="I102" s="453">
        <f t="shared" si="22"/>
        <v>68.17519322782482</v>
      </c>
      <c r="J102" s="453" t="str">
        <f t="shared" si="22"/>
        <v>N/A</v>
      </c>
      <c r="K102" s="453">
        <f t="shared" si="22"/>
        <v>8.5218991534781026</v>
      </c>
      <c r="L102" s="453">
        <f t="shared" si="22"/>
        <v>77.449024659550986</v>
      </c>
      <c r="M102" s="453">
        <f t="shared" si="22"/>
        <v>28.197460434302542</v>
      </c>
      <c r="N102" s="453">
        <f t="shared" si="22"/>
        <v>9.649797570850204</v>
      </c>
      <c r="O102" s="453">
        <f t="shared" si="22"/>
        <v>0</v>
      </c>
      <c r="P102" s="453">
        <f>P104</f>
        <v>681.00000000000011</v>
      </c>
      <c r="Q102" s="429" t="s">
        <v>862</v>
      </c>
      <c r="R102" s="450"/>
    </row>
    <row r="103" spans="3:18" hidden="1" x14ac:dyDescent="0.25">
      <c r="C103" s="450" t="s">
        <v>855</v>
      </c>
      <c r="D103" s="459">
        <f>D102/$P$106</f>
        <v>2.1561627579808562E-2</v>
      </c>
      <c r="E103" s="459">
        <f>IF(E102="N/A","N/A",E102/$P$106)</f>
        <v>3.2342441369712844E-3</v>
      </c>
      <c r="F103" s="459">
        <f>F102/$P$106</f>
        <v>1.394318583494287E-2</v>
      </c>
      <c r="G103" s="459">
        <f>IF(D6=C156,"N/A",G102/$P$106)</f>
        <v>1.7349922992552624E-2</v>
      </c>
      <c r="H103" s="459">
        <f>IF(D5=C157,"N/A",H102/$P$106)</f>
        <v>0</v>
      </c>
      <c r="I103" s="459">
        <f t="shared" ref="I103:O103" si="23">I102/$P$106</f>
        <v>7.8196836022772394E-3</v>
      </c>
      <c r="J103" s="459" t="e">
        <f t="shared" si="23"/>
        <v>#VALUE!</v>
      </c>
      <c r="K103" s="459">
        <f t="shared" si="23"/>
        <v>9.7746045028465492E-4</v>
      </c>
      <c r="L103" s="459">
        <f t="shared" si="23"/>
        <v>8.8833905628811285E-3</v>
      </c>
      <c r="M103" s="459">
        <f t="shared" si="23"/>
        <v>3.2342441369712844E-3</v>
      </c>
      <c r="N103" s="459">
        <f t="shared" si="23"/>
        <v>1.1068302157635063E-3</v>
      </c>
      <c r="O103" s="459">
        <f t="shared" si="23"/>
        <v>0</v>
      </c>
      <c r="P103" s="433" t="e">
        <f t="shared" ref="P103:P108" si="24">SUM(D103:O103)</f>
        <v>#VALUE!</v>
      </c>
      <c r="Q103" s="456"/>
      <c r="R103" s="450" t="s">
        <v>863</v>
      </c>
    </row>
    <row r="104" spans="3:18" hidden="1" x14ac:dyDescent="0.25">
      <c r="C104" s="450"/>
      <c r="D104" s="434">
        <v>187.98306956201696</v>
      </c>
      <c r="E104" s="457">
        <v>28.197460434302542</v>
      </c>
      <c r="F104" s="434">
        <v>121.56238498343762</v>
      </c>
      <c r="G104" s="434">
        <v>151.26370997423632</v>
      </c>
      <c r="H104" s="451" t="b">
        <f>H106</f>
        <v>0</v>
      </c>
      <c r="I104" s="434">
        <v>68.17519322782482</v>
      </c>
      <c r="J104" s="434" t="s">
        <v>280</v>
      </c>
      <c r="K104" s="434">
        <v>8.5218991534781026</v>
      </c>
      <c r="L104" s="457">
        <v>77.449024659550986</v>
      </c>
      <c r="M104" s="434">
        <v>28.197460434302542</v>
      </c>
      <c r="N104" s="434">
        <v>9.649797570850204</v>
      </c>
      <c r="O104" s="434">
        <v>0</v>
      </c>
      <c r="P104" s="458">
        <f t="shared" si="24"/>
        <v>681.00000000000011</v>
      </c>
      <c r="Q104" s="429" t="s">
        <v>901</v>
      </c>
      <c r="R104" s="450" t="s">
        <v>868</v>
      </c>
    </row>
    <row r="105" spans="3:18" hidden="1" x14ac:dyDescent="0.25">
      <c r="C105" s="450" t="s">
        <v>859</v>
      </c>
      <c r="D105" s="459">
        <f>SUM(D104/$P$104)</f>
        <v>0.27603974972396028</v>
      </c>
      <c r="E105" s="459">
        <f>SUM(E104/$P$104)</f>
        <v>4.1405962458594035E-2</v>
      </c>
      <c r="F105" s="459">
        <f>SUM(F104/$P$104)</f>
        <v>0.17850570482149428</v>
      </c>
      <c r="G105" s="459">
        <f>SUM(G104/$P$104)</f>
        <v>0.22211998527788002</v>
      </c>
      <c r="H105" s="434" t="s">
        <v>280</v>
      </c>
      <c r="I105" s="459">
        <f>SUM(I104/$P$104)</f>
        <v>0.10011041589988959</v>
      </c>
      <c r="J105" s="434" t="s">
        <v>280</v>
      </c>
      <c r="K105" s="459">
        <f>SUM(K104/$P$104)</f>
        <v>1.2513801987486198E-2</v>
      </c>
      <c r="L105" s="459">
        <f>SUM(L104/$P$104)</f>
        <v>0.11372837688627162</v>
      </c>
      <c r="M105" s="459">
        <f>SUM(M104/$P$104)</f>
        <v>4.1405962458594035E-2</v>
      </c>
      <c r="N105" s="459">
        <f>SUM(N104/$P$104)</f>
        <v>1.417004048582996E-2</v>
      </c>
      <c r="O105" s="434" t="s">
        <v>280</v>
      </c>
      <c r="P105" s="433">
        <f t="shared" si="24"/>
        <v>0.99999999999999989</v>
      </c>
      <c r="Q105" s="429"/>
      <c r="R105" s="450"/>
    </row>
    <row r="106" spans="3:18" ht="15" hidden="1" customHeight="1" x14ac:dyDescent="0.25">
      <c r="C106" s="450"/>
      <c r="D106" s="422">
        <f>IF($E$15=$G$126,2103,2103-E106)</f>
        <v>2103</v>
      </c>
      <c r="E106" s="460" t="str">
        <f>IF($D$9=$G$125,(2103*0.5/4)*3*$H$9,"N/A")</f>
        <v>N/A</v>
      </c>
      <c r="F106" s="422">
        <v>1818</v>
      </c>
      <c r="G106" s="461" t="b">
        <f>IF($D$10=$C$161,2151,IF($D$10=$C$160,"N/A",IF($D$10=$C$162,2151*0.89)))</f>
        <v>0</v>
      </c>
      <c r="H106" s="462" t="b">
        <f>IF($D$10=$C$160,2151,IF($D$10=$C$161,"N/A",IF($D$10=$C$162,2151*0.11)))</f>
        <v>0</v>
      </c>
      <c r="I106" s="422">
        <v>1191</v>
      </c>
      <c r="J106" s="422">
        <v>841</v>
      </c>
      <c r="K106" s="422">
        <v>95</v>
      </c>
      <c r="L106" s="422">
        <f>8199*$L$85</f>
        <v>197.36409706656269</v>
      </c>
      <c r="M106" s="422">
        <f>8199*$M$85</f>
        <v>163.00516518857808</v>
      </c>
      <c r="N106" s="422">
        <f>8199*$N$85</f>
        <v>319.61797095799625</v>
      </c>
      <c r="O106" s="422">
        <f>8199*$O$85</f>
        <v>1990.4209141409217</v>
      </c>
      <c r="P106" s="422">
        <f t="shared" si="24"/>
        <v>8718.4081473540591</v>
      </c>
      <c r="Q106" s="429" t="s">
        <v>901</v>
      </c>
      <c r="R106" s="463" t="s">
        <v>869</v>
      </c>
    </row>
    <row r="107" spans="3:18" hidden="1" x14ac:dyDescent="0.25">
      <c r="C107" s="579" t="s">
        <v>999</v>
      </c>
      <c r="D107" s="459">
        <f>$D$106/$P$106</f>
        <v>0.24121375880277379</v>
      </c>
      <c r="E107" s="459" t="str">
        <f>IF($E$106="N/A","N/A",$E$106/$P$106)</f>
        <v>N/A</v>
      </c>
      <c r="F107" s="459">
        <f>$F$106/$P$106</f>
        <v>0.20852430504205552</v>
      </c>
      <c r="G107" s="459">
        <f>IF($D$10=$C$160,"N/A",$G$106/$P$106)</f>
        <v>0</v>
      </c>
      <c r="H107" s="459">
        <f>IF($D$10=$C$161,"N/A",$H$106/$P$106)</f>
        <v>0</v>
      </c>
      <c r="I107" s="459">
        <f>$I$106/$P$106</f>
        <v>0.13660750676847533</v>
      </c>
      <c r="J107" s="459">
        <f>$J$106/$P$106</f>
        <v>9.6462563553558145E-2</v>
      </c>
      <c r="K107" s="459">
        <f>$K$106/$P$106</f>
        <v>1.0896484586906091E-2</v>
      </c>
      <c r="L107" s="459">
        <f>$L$106/$P$106</f>
        <v>2.2637629912573034E-2</v>
      </c>
      <c r="M107" s="459">
        <f>$M$106/$P$106</f>
        <v>1.8696666000667606E-2</v>
      </c>
      <c r="N107" s="459">
        <f>$N$106/$P$106</f>
        <v>3.6660129413073735E-2</v>
      </c>
      <c r="O107" s="459">
        <f>$O$106/$P$106</f>
        <v>0.2283009559199167</v>
      </c>
      <c r="P107" s="433">
        <f t="shared" si="24"/>
        <v>1</v>
      </c>
      <c r="Q107" s="450"/>
      <c r="R107" s="450"/>
    </row>
    <row r="108" spans="3:18" hidden="1" x14ac:dyDescent="0.25">
      <c r="C108" s="450" t="s">
        <v>996</v>
      </c>
      <c r="D108" s="459">
        <f>$D$106/$P$106</f>
        <v>0.24121375880277379</v>
      </c>
      <c r="E108" s="459" t="str">
        <f>IF($E$106="N/A","N/A",$E$106/$P$106)</f>
        <v>N/A</v>
      </c>
      <c r="F108" s="459">
        <f>$F$106/$P$106</f>
        <v>0.20852430504205552</v>
      </c>
      <c r="G108" s="459">
        <f>IF($D$10=$C$160,"N/A",$G$106/$P$106)</f>
        <v>0</v>
      </c>
      <c r="H108" s="459">
        <f>IF($D$10=$C$161,"N/A",$H$106/$P$106)</f>
        <v>0</v>
      </c>
      <c r="I108" s="459">
        <f>$I$106/$P$106</f>
        <v>0.13660750676847533</v>
      </c>
      <c r="J108" s="459">
        <f>$J$106/$P$106</f>
        <v>9.6462563553558145E-2</v>
      </c>
      <c r="K108" s="459">
        <f>$K$106/$P$106</f>
        <v>1.0896484586906091E-2</v>
      </c>
      <c r="L108" s="459">
        <f>$L$106/$P$106</f>
        <v>2.2637629912573034E-2</v>
      </c>
      <c r="M108" s="459">
        <f>$M$106/$P$106</f>
        <v>1.8696666000667606E-2</v>
      </c>
      <c r="N108" s="459">
        <f>$N$106/$P$106</f>
        <v>3.6660129413073735E-2</v>
      </c>
      <c r="O108" s="459">
        <f>$O$106/$P$106</f>
        <v>0.2283009559199167</v>
      </c>
      <c r="P108" s="433">
        <f t="shared" si="24"/>
        <v>1</v>
      </c>
      <c r="Q108" s="574"/>
      <c r="R108" s="450"/>
    </row>
    <row r="109" spans="3:18" hidden="1" x14ac:dyDescent="0.25">
      <c r="C109" s="574"/>
      <c r="D109" s="575"/>
      <c r="E109" s="575"/>
      <c r="F109" s="575"/>
      <c r="G109" s="575"/>
      <c r="H109" s="575"/>
      <c r="I109" s="575"/>
      <c r="J109" s="575"/>
      <c r="K109" s="575"/>
      <c r="L109" s="575"/>
      <c r="M109" s="575"/>
      <c r="N109" s="575"/>
      <c r="O109" s="575"/>
      <c r="P109" s="576"/>
      <c r="Q109" s="574"/>
      <c r="R109" s="450"/>
    </row>
    <row r="110" spans="3:18" hidden="1" x14ac:dyDescent="0.25">
      <c r="C110" s="410"/>
      <c r="D110" s="464"/>
      <c r="E110" s="465"/>
      <c r="F110" s="436"/>
      <c r="G110" s="425"/>
      <c r="H110" s="436"/>
      <c r="I110" s="436"/>
      <c r="J110" s="436"/>
      <c r="K110" s="436"/>
      <c r="L110" s="436"/>
      <c r="M110" s="436"/>
      <c r="N110" s="436"/>
      <c r="O110" s="465"/>
      <c r="P110" s="466"/>
      <c r="Q110" s="410"/>
      <c r="R110" s="450" t="s">
        <v>728</v>
      </c>
    </row>
    <row r="111" spans="3:18" hidden="1" x14ac:dyDescent="0.25">
      <c r="C111" s="410"/>
      <c r="D111" s="429" t="str">
        <f>IF(ISERROR(IF(OR(Wat01_building_type="",Wat01_building_type=$G$124),"Applicable",IF(VLOOKUP(Wat01_building_type,$C$83:$O$108,2,FALSE)="N/A","Not Applicable","Applicable"))),"-",IF(OR(Wat01_building_type="",Wat01_building_type=$G$124),"Applicable",IF(VLOOKUP(Wat01_building_type,$C$83:$O$108,2,FALSE)="N/A","Not Applicable","Applicable")))</f>
        <v>-</v>
      </c>
      <c r="E111" s="429" t="str">
        <f>IF(ISERROR(IF(OR(Wat01_building_type="",Wat01_building_type=$G$124),"Applicable",IF(VLOOKUP(Wat01_building_type,$C$83:$O$108,3,FALSE)="N/A","Not Applicable","Applicable"))),"-",IF(OR(Wat01_building_type="",Wat01_building_type=$G$124),"Applicable",IF(VLOOKUP(Wat01_building_type,$C$83:$O$108,3,FALSE)="N/A","Not Applicable","Applicable")))</f>
        <v>-</v>
      </c>
      <c r="F111" s="429" t="str">
        <f>IF(ISERROR(IF(OR(Wat01_building_type="",Wat01_building_type=$G$124),"Applicable",IF(VLOOKUP(Wat01_building_type,$C$83:$O$108,4,FALSE)="N/A","Not Applicable","Applicable"))),"-",IF(OR(Wat01_building_type="",Wat01_building_type=$G$124),"Applicable",IF(VLOOKUP(Wat01_building_type,$C$83:$O$108,4,FALSE)="N/A","Not Applicable","Applicable")))</f>
        <v>-</v>
      </c>
      <c r="G111" s="429" t="str">
        <f>IF(ISERROR(IF(OR(Wat01_building_type="",Wat01_building_type=$G$124),"Applicable",IF(VLOOKUP(Wat01_building_type,$C$83:$O$108,5,FALSE)="N/A","Not Applicable","Applicable"))),"-",IF(OR(Wat01_building_type="",Wat01_building_type=$G$124),"Applicable",IF(VLOOKUP(Wat01_building_type,$C$83:$O$108,5,FALSE)="N/A","Not Applicable","Applicable")))</f>
        <v>-</v>
      </c>
      <c r="H111" s="429" t="str">
        <f>IF(ISERROR(IF(OR(Wat01_building_type="",Wat01_building_type=$G$124),"Applicable",IF(VLOOKUP(Wat01_building_type,$C$83:$O$108,6,FALSE)="N/A","Not Applicable","Applicable"))),"-",IF(OR(Wat01_building_type="",Wat01_building_type=$G$124),"Applicable",IF(VLOOKUP(Wat01_building_type,$C$83:$O$108,6,FALSE)="N/A","Not Applicable","Applicable")))</f>
        <v>-</v>
      </c>
      <c r="I111" s="429" t="str">
        <f>IF(ISERROR(IF(OR(Wat01_building_type="",Wat01_building_type=$G$124),"Applicable",IF(VLOOKUP(Wat01_building_type,$C$83:$O$108,7,FALSE)="N/A","Not Applicable","Applicable"))),"-",IF(OR(Wat01_building_type="",Wat01_building_type=$G$124),"Applicable",IF(VLOOKUP(Wat01_building_type,$C$83:$O$108,7,FALSE)="N/A","Not Applicable","Applicable")))</f>
        <v>-</v>
      </c>
      <c r="J111" s="429" t="str">
        <f>IF(ISERROR(IF(OR(Wat01_building_type="",Wat01_building_type=$G$124),"Applicable",IF(VLOOKUP(Wat01_building_type,$C$83:$O$108,8,FALSE)="N/A","Not Applicable","Applicable"))),"-",IF(OR(Wat01_building_type="",Wat01_building_type=$G$124),"Applicable",IF(VLOOKUP(Wat01_building_type,$C$83:$O$108,8,FALSE)="N/A","Not Applicable","Applicable")))</f>
        <v>-</v>
      </c>
      <c r="K111" s="429" t="str">
        <f>IF(ISERROR(IF(OR(Wat01_building_type="",Wat01_building_type=$G$124),"Applicable",IF(VLOOKUP(Wat01_building_type,$C$83:$O$108,9,FALSE)="N/A","Not Applicable","Applicable"))),"-",IF(OR(Wat01_building_type="",Wat01_building_type=$G$124),"Applicable",IF(VLOOKUP(Wat01_building_type,$C$83:$O$108,9,FALSE)="N/A","Not Applicable","Applicable")))</f>
        <v>-</v>
      </c>
      <c r="L111" s="429" t="str">
        <f>IF(ISERROR(IF(OR(Wat01_building_type="",Wat01_building_type=$G$124),"Applicable",IF(VLOOKUP(Wat01_building_type,$C$83:$O$108,10,FALSE)="N/A","Not Applicable","Applicable"))),"-",IF(OR(Wat01_building_type="",Wat01_building_type=$G$124),"Applicable",IF(VLOOKUP(Wat01_building_type,$C$83:$O$108,10,FALSE)="N/A","Not Applicable","Applicable")))</f>
        <v>-</v>
      </c>
      <c r="M111" s="429" t="str">
        <f>IF(ISERROR(IF(OR(Wat01_building_type="",Wat01_building_type=$G$124),"Applicable",IF(VLOOKUP(Wat01_building_type,$C$83:$O$108,11,FALSE)="N/A","Not Applicable","Applicable"))),"-",IF(OR(Wat01_building_type="",Wat01_building_type=$G$124),"Applicable",IF(VLOOKUP(Wat01_building_type,$C$83:$O$108,11,FALSE)="N/A","Not Applicable","Applicable")))</f>
        <v>-</v>
      </c>
      <c r="N111" s="429" t="str">
        <f>IF(ISERROR(IF(OR(Wat01_building_type="",Wat01_building_type=$G$124),"Applicable",IF(VLOOKUP(Wat01_building_type,$C$83:$O$108,12,FALSE)="N/A","Not Applicable","Applicable"))),"-",IF(OR(Wat01_building_type="",Wat01_building_type=$G$124),"Applicable",IF(VLOOKUP(Wat01_building_type,$C$83:$O$108,12,FALSE)="N/A","Not Applicable","Applicable")))</f>
        <v>-</v>
      </c>
      <c r="O111" s="429" t="str">
        <f>IF(ISERROR(IF(OR(Wat01_building_type="",Wat01_building_type=$G$124),"Applicable",IF(VLOOKUP(Wat01_building_type,$C$83:$O$108,13,FALSE)="N/A","Not Applicable","Applicable"))),"-",IF(OR(Wat01_building_type="",Wat01_building_type=$G$124),"Applicable",IF(VLOOKUP(Wat01_building_type,$C$83:$O$108,13,FALSE)="N/A","Not Applicable","Applicable")))</f>
        <v>-</v>
      </c>
      <c r="P111" s="411"/>
      <c r="Q111" s="410"/>
      <c r="R111" s="450" t="s">
        <v>729</v>
      </c>
    </row>
    <row r="112" spans="3:18" hidden="1" x14ac:dyDescent="0.25">
      <c r="C112" s="410"/>
      <c r="D112" s="411"/>
      <c r="E112" s="411"/>
      <c r="F112" s="411"/>
      <c r="G112" s="411"/>
      <c r="H112" s="411"/>
      <c r="I112" s="411"/>
      <c r="J112" s="411"/>
      <c r="K112" s="411"/>
      <c r="L112" s="411"/>
      <c r="M112" s="411"/>
      <c r="N112" s="411"/>
      <c r="O112" s="411"/>
      <c r="P112" s="411"/>
      <c r="Q112" s="410"/>
      <c r="R112" s="410"/>
    </row>
    <row r="113" spans="3:18" hidden="1" x14ac:dyDescent="0.25">
      <c r="C113" s="467" t="s">
        <v>876</v>
      </c>
      <c r="D113" s="451" t="str">
        <f>IF(AND(D15=$G$125,D16=$G$135),VLOOKUP(Wat01_building_type,$C$83:$O$108,2,FALSE),"N/A")</f>
        <v>N/A</v>
      </c>
      <c r="E113" s="451" t="str">
        <f>IF(AND(E15=$G$125,E16=$G$135),VLOOKUP(Wat01_building_type,$C$83:$O$108,3,FALSE),"N/A")</f>
        <v>N/A</v>
      </c>
      <c r="F113" s="451" t="str">
        <f>IF(AND(F15=$G$125,F16=$G$135),VLOOKUP(Wat01_building_type,$C$83:$O$108,4,FALSE),"N/A")</f>
        <v>N/A</v>
      </c>
      <c r="G113" s="451" t="str">
        <f>IF(AND(G15=$G$125,G16=$G$135),VLOOKUP(Wat01_building_type,$C$83:$O$108,5,FALSE),"N/A")</f>
        <v>N/A</v>
      </c>
      <c r="H113" s="451" t="str">
        <f>IF(AND(H15=$G$125,H16=$G$135),VLOOKUP(Wat01_building_type,$C$83:$O$108,6,FALSE),"N/A")</f>
        <v>N/A</v>
      </c>
      <c r="I113" s="451" t="str">
        <f>IF(AND(I15=$G$125,I16=$G$135),VLOOKUP(Wat01_building_type,$C$83:$O$108,7,FALSE),"N/A")</f>
        <v>N/A</v>
      </c>
      <c r="J113" s="451" t="str">
        <f>IF(AND(J15=$G$125,J16=$G$135),VLOOKUP(Wat01_building_type,$C$83:$O$108,8,FALSE),"N/A")</f>
        <v>N/A</v>
      </c>
      <c r="K113" s="451" t="str">
        <f>IF(AND(K15=$G$125,K16=$G$135),VLOOKUP(Wat01_building_type,$C$83:$O$108,9,FALSE),"N/A")</f>
        <v>N/A</v>
      </c>
      <c r="L113" s="451" t="str">
        <f>IF(AND(L15=$G$125,L16=$G$135),VLOOKUP(Wat01_building_type,$C$83:$O$108,10,FALSE),"N/A")</f>
        <v>N/A</v>
      </c>
      <c r="M113" s="451" t="str">
        <f>IF(AND(M15=$G$125,M16=$G$135),VLOOKUP(Wat01_building_type,$C$83:$O$108,11,FALSE),"N/A")</f>
        <v>N/A</v>
      </c>
      <c r="N113" s="451" t="str">
        <f>IF(AND(N15=$G$125,N16=$G$135),VLOOKUP(Wat01_building_type,$C$83:$O$108,12,FALSE),"N/A")</f>
        <v>N/A</v>
      </c>
      <c r="O113" s="451" t="str">
        <f>IF(AND(O15=$G$125,O16=$G$135),VLOOKUP(Wat01_building_type,$C$83:$O$108,13,FALSE),"N/A")</f>
        <v>N/A</v>
      </c>
      <c r="P113" s="433">
        <f>SUM(D113:O113)</f>
        <v>0</v>
      </c>
      <c r="Q113" s="410"/>
      <c r="R113" s="410"/>
    </row>
    <row r="114" spans="3:18" hidden="1" x14ac:dyDescent="0.25">
      <c r="C114" s="467" t="s">
        <v>875</v>
      </c>
      <c r="D114" s="451" t="str">
        <f>IF(D113="N/A","N/A",D113/$P$113)</f>
        <v>N/A</v>
      </c>
      <c r="E114" s="451" t="str">
        <f t="shared" ref="E114:O114" si="25">IF(E113="N/A","N/A",E113/$P$113)</f>
        <v>N/A</v>
      </c>
      <c r="F114" s="451" t="str">
        <f t="shared" si="25"/>
        <v>N/A</v>
      </c>
      <c r="G114" s="451" t="str">
        <f t="shared" si="25"/>
        <v>N/A</v>
      </c>
      <c r="H114" s="451" t="str">
        <f t="shared" si="25"/>
        <v>N/A</v>
      </c>
      <c r="I114" s="451" t="str">
        <f t="shared" si="25"/>
        <v>N/A</v>
      </c>
      <c r="J114" s="451" t="str">
        <f t="shared" si="25"/>
        <v>N/A</v>
      </c>
      <c r="K114" s="451" t="str">
        <f t="shared" si="25"/>
        <v>N/A</v>
      </c>
      <c r="L114" s="451" t="str">
        <f t="shared" si="25"/>
        <v>N/A</v>
      </c>
      <c r="M114" s="451" t="str">
        <f t="shared" si="25"/>
        <v>N/A</v>
      </c>
      <c r="N114" s="451" t="str">
        <f t="shared" si="25"/>
        <v>N/A</v>
      </c>
      <c r="O114" s="451" t="str">
        <f t="shared" si="25"/>
        <v>N/A</v>
      </c>
      <c r="P114" s="433">
        <f>SUM(D114:O114)</f>
        <v>0</v>
      </c>
      <c r="Q114" s="410"/>
      <c r="R114" s="410"/>
    </row>
    <row r="115" spans="3:18" hidden="1" x14ac:dyDescent="0.25">
      <c r="C115" s="410"/>
      <c r="D115" s="411"/>
      <c r="E115" s="411"/>
      <c r="F115" s="411"/>
      <c r="G115" s="411"/>
      <c r="H115" s="411"/>
      <c r="I115" s="411"/>
      <c r="J115" s="411"/>
      <c r="K115" s="411"/>
      <c r="L115" s="411"/>
      <c r="M115" s="411"/>
      <c r="N115" s="411"/>
      <c r="O115" s="411"/>
      <c r="P115" s="411"/>
      <c r="Q115" s="410"/>
      <c r="R115" s="410"/>
    </row>
    <row r="116" spans="3:18" hidden="1" x14ac:dyDescent="0.25">
      <c r="C116" s="410"/>
      <c r="D116" s="429" t="str">
        <f>IF($D$111="Applicable","Please select","Not Applicable")</f>
        <v>Not Applicable</v>
      </c>
      <c r="E116" s="429" t="str">
        <f>IF($E$111="Applicable","Please select","Not Applicable")</f>
        <v>Not Applicable</v>
      </c>
      <c r="F116" s="429" t="str">
        <f>IF($F$111="Applicable","Please select","Not Applicable")</f>
        <v>Not Applicable</v>
      </c>
      <c r="G116" s="429" t="str">
        <f>IF($G$111="Applicable","Please select","Not Applicable")</f>
        <v>Not Applicable</v>
      </c>
      <c r="H116" s="429" t="str">
        <f>IF($H$111="Applicable","Please select","Not Applicable")</f>
        <v>Not Applicable</v>
      </c>
      <c r="I116" s="429" t="str">
        <f>IF($I$111="Applicable","Please select","Not Applicable")</f>
        <v>Not Applicable</v>
      </c>
      <c r="J116" s="429" t="str">
        <f>IF($J$111="Applicable","Please select","Not Applicable")</f>
        <v>Not Applicable</v>
      </c>
      <c r="K116" s="429" t="str">
        <f>IF($K$111="Applicable","Please select","Not Applicable")</f>
        <v>Not Applicable</v>
      </c>
      <c r="L116" s="429" t="str">
        <f>IF($L$111="Applicable","Please select","Not Applicable")</f>
        <v>Not Applicable</v>
      </c>
      <c r="M116" s="429" t="str">
        <f>IF($M$111="Applicable","Please select","Not Applicable")</f>
        <v>Not Applicable</v>
      </c>
      <c r="N116" s="429" t="str">
        <f>IF($N$111="Applicable","Please select","Not Applicable")</f>
        <v>Not Applicable</v>
      </c>
      <c r="O116" s="429" t="str">
        <f>IF($O$111="Applicable","Please select","Not Applicable")</f>
        <v>Not Applicable</v>
      </c>
      <c r="P116" s="411"/>
      <c r="Q116" s="411"/>
      <c r="R116" s="410"/>
    </row>
    <row r="117" spans="3:18" hidden="1" x14ac:dyDescent="0.25">
      <c r="C117" s="410"/>
      <c r="D117" s="429" t="str">
        <f>IF($D$111="Applicable","Baseline","")</f>
        <v/>
      </c>
      <c r="E117" s="429" t="str">
        <f>IF($E$111="Applicable","Baseline","")</f>
        <v/>
      </c>
      <c r="F117" s="429" t="str">
        <f>IF($F$111="Applicable","Baseline","")</f>
        <v/>
      </c>
      <c r="G117" s="429" t="str">
        <f>IF($G$111="Applicable","Baseline","")</f>
        <v/>
      </c>
      <c r="H117" s="429" t="str">
        <f>IF($H$111="Applicable","Baseline","")</f>
        <v/>
      </c>
      <c r="I117" s="429" t="str">
        <f>IF($I$111="Applicable","Baseline","")</f>
        <v/>
      </c>
      <c r="J117" s="429" t="str">
        <f>IF($J$111="Applicable","Baseline","")</f>
        <v/>
      </c>
      <c r="K117" s="429" t="str">
        <f>IF($K$111="Applicable","Baseline","")</f>
        <v/>
      </c>
      <c r="L117" s="429" t="str">
        <f>IF($L$111="Applicable","Baseline","")</f>
        <v/>
      </c>
      <c r="M117" s="429" t="str">
        <f>IF($M$111="Applicable","Baseline","")</f>
        <v/>
      </c>
      <c r="N117" s="429" t="str">
        <f>IF($N$111="Applicable","Baseline","")</f>
        <v/>
      </c>
      <c r="O117" s="429" t="str">
        <f>IF($O$111="Applicable","Baseline","")</f>
        <v/>
      </c>
      <c r="P117" s="411"/>
      <c r="Q117" s="411"/>
      <c r="R117" s="410"/>
    </row>
    <row r="118" spans="3:18" hidden="1" x14ac:dyDescent="0.25">
      <c r="C118" s="410"/>
      <c r="D118" s="429" t="str">
        <f>IF($D$111="Applicable",1,"")</f>
        <v/>
      </c>
      <c r="E118" s="429" t="str">
        <f>IF($E$111="Applicable",1,"")</f>
        <v/>
      </c>
      <c r="F118" s="429" t="str">
        <f>IF($F$111="Applicable",1,"")</f>
        <v/>
      </c>
      <c r="G118" s="429" t="str">
        <f>IF($G$111="Applicable",1,"")</f>
        <v/>
      </c>
      <c r="H118" s="429" t="str">
        <f>IF($H$111="Applicable",1,"")</f>
        <v/>
      </c>
      <c r="I118" s="429" t="str">
        <f>IF($I$111="Applicable",1,"")</f>
        <v/>
      </c>
      <c r="J118" s="429" t="str">
        <f>IF($J$111="Applicable",1,"")</f>
        <v/>
      </c>
      <c r="K118" s="429" t="str">
        <f>IF($K$111="Applicable",1,"")</f>
        <v/>
      </c>
      <c r="L118" s="429" t="str">
        <f>IF($L$111="Applicable",1,"")</f>
        <v/>
      </c>
      <c r="M118" s="429" t="str">
        <f>IF($M$111="Applicable",1,"")</f>
        <v/>
      </c>
      <c r="N118" s="429" t="str">
        <f>IF($N$111="Applicable",1,"")</f>
        <v/>
      </c>
      <c r="O118" s="429" t="str">
        <f>IF($O$111="Applicable",1,"")</f>
        <v/>
      </c>
      <c r="P118" s="411"/>
      <c r="Q118" s="411"/>
      <c r="R118" s="410"/>
    </row>
    <row r="119" spans="3:18" hidden="1" x14ac:dyDescent="0.25">
      <c r="C119" s="410"/>
      <c r="D119" s="429" t="str">
        <f>IF($D$111="Applicable",2,"")</f>
        <v/>
      </c>
      <c r="E119" s="429" t="str">
        <f>IF($E$111="Applicable",2,"")</f>
        <v/>
      </c>
      <c r="F119" s="429" t="str">
        <f>IF($F$111="Applicable",2,"")</f>
        <v/>
      </c>
      <c r="G119" s="429" t="str">
        <f>IF($G$111="Applicable",2,"")</f>
        <v/>
      </c>
      <c r="H119" s="429" t="str">
        <f>IF($H$111="Applicable",2,"")</f>
        <v/>
      </c>
      <c r="I119" s="429" t="str">
        <f>IF($I$111="Applicable",2,"")</f>
        <v/>
      </c>
      <c r="J119" s="429" t="str">
        <f>IF($J$111="Applicable",2,"")</f>
        <v/>
      </c>
      <c r="K119" s="429" t="str">
        <f>IF($K$111="Applicable",2,"")</f>
        <v/>
      </c>
      <c r="L119" s="429" t="str">
        <f>IF($L$111="Applicable",2,"")</f>
        <v/>
      </c>
      <c r="M119" s="429" t="str">
        <f>IF($M$111="Applicable",2,"")</f>
        <v/>
      </c>
      <c r="N119" s="429" t="str">
        <f>IF($N$111="Applicable",2,"")</f>
        <v/>
      </c>
      <c r="O119" s="429" t="str">
        <f>IF($O$111="Applicable",2,"")</f>
        <v/>
      </c>
      <c r="P119" s="411"/>
      <c r="Q119" s="411"/>
      <c r="R119" s="410"/>
    </row>
    <row r="120" spans="3:18" hidden="1" x14ac:dyDescent="0.25">
      <c r="C120" s="410"/>
      <c r="D120" s="429" t="str">
        <f>IF($D$111="Applicable",3,"")</f>
        <v/>
      </c>
      <c r="E120" s="429" t="str">
        <f>IF($E$111="Applicable",3,"")</f>
        <v/>
      </c>
      <c r="F120" s="429" t="str">
        <f>IF($F$111="Applicable",3,"")</f>
        <v/>
      </c>
      <c r="G120" s="429" t="str">
        <f>IF($G$111="Applicable",3,"")</f>
        <v/>
      </c>
      <c r="H120" s="429" t="str">
        <f>IF($H$111="Applicable",3,"")</f>
        <v/>
      </c>
      <c r="I120" s="429" t="str">
        <f>IF($I$111="Applicable",3,"")</f>
        <v/>
      </c>
      <c r="J120" s="429" t="str">
        <f>IF($J$111="Applicable",3,"")</f>
        <v/>
      </c>
      <c r="K120" s="429" t="str">
        <f>IF($K$111="Applicable",3,"")</f>
        <v/>
      </c>
      <c r="L120" s="429" t="str">
        <f>IF($L$111="Applicable",3,"")</f>
        <v/>
      </c>
      <c r="M120" s="429" t="str">
        <f>IF($M$111="Applicable",3,"")</f>
        <v/>
      </c>
      <c r="N120" s="429" t="str">
        <f>IF($N$111="Applicable",3,"")</f>
        <v/>
      </c>
      <c r="O120" s="429" t="str">
        <f>IF($O$111="Applicable",3,"")</f>
        <v/>
      </c>
      <c r="P120" s="411"/>
      <c r="Q120" s="411"/>
      <c r="R120" s="410"/>
    </row>
    <row r="121" spans="3:18" hidden="1" x14ac:dyDescent="0.25">
      <c r="C121" s="410"/>
      <c r="D121" s="429" t="str">
        <f>IF($D$111="Applicable",4,"")</f>
        <v/>
      </c>
      <c r="E121" s="429" t="str">
        <f>IF($E$111="Applicable",4,"")</f>
        <v/>
      </c>
      <c r="F121" s="429" t="str">
        <f>IF($F$111="Applicable",4,"")</f>
        <v/>
      </c>
      <c r="G121" s="429" t="str">
        <f>IF($G$111="Applicable",4,"")</f>
        <v/>
      </c>
      <c r="H121" s="429" t="str">
        <f>IF($H$111="Applicable",4,"")</f>
        <v/>
      </c>
      <c r="I121" s="429" t="str">
        <f>IF($I$111="Applicable",4,"")</f>
        <v/>
      </c>
      <c r="J121" s="429" t="str">
        <f>IF($J$111="Applicable",4,"")</f>
        <v/>
      </c>
      <c r="K121" s="429" t="str">
        <f>IF($K$111="Applicable",4,"")</f>
        <v/>
      </c>
      <c r="L121" s="429" t="str">
        <f>IF($L$111="Applicable",4,"")</f>
        <v/>
      </c>
      <c r="M121" s="429" t="str">
        <f>IF($M$111="Applicable",4,"")</f>
        <v/>
      </c>
      <c r="N121" s="429" t="str">
        <f>IF($N$111="Applicable",4,"")</f>
        <v/>
      </c>
      <c r="O121" s="429" t="str">
        <f>IF($O$111="Applicable",4,"")</f>
        <v/>
      </c>
      <c r="P121" s="411"/>
      <c r="Q121" s="411"/>
      <c r="R121" s="410"/>
    </row>
    <row r="122" spans="3:18" hidden="1" x14ac:dyDescent="0.25">
      <c r="C122" s="410"/>
      <c r="D122" s="429" t="str">
        <f>IF($D$111="Applicable",5,"")</f>
        <v/>
      </c>
      <c r="E122" s="429" t="str">
        <f>IF($E$111="Applicable",5,"")</f>
        <v/>
      </c>
      <c r="F122" s="429" t="str">
        <f>IF($F$111="Applicable",5,"")</f>
        <v/>
      </c>
      <c r="G122" s="429" t="str">
        <f>IF($G$111="Applicable",5,"")</f>
        <v/>
      </c>
      <c r="H122" s="429" t="str">
        <f>IF($H$111="Applicable",5,"")</f>
        <v/>
      </c>
      <c r="I122" s="429" t="str">
        <f>IF($I$111="Applicable",5,"")</f>
        <v/>
      </c>
      <c r="J122" s="429" t="str">
        <f>IF($J$111="Applicable",5,"")</f>
        <v/>
      </c>
      <c r="K122" s="429" t="str">
        <f>IF($K$111="Applicable",5,"")</f>
        <v/>
      </c>
      <c r="L122" s="429" t="str">
        <f>IF($L$111="Applicable",5,"")</f>
        <v/>
      </c>
      <c r="M122" s="429" t="str">
        <f>IF($M$111="Applicable",5,"")</f>
        <v/>
      </c>
      <c r="N122" s="429" t="str">
        <f>IF($N$111="Applicable",5,"")</f>
        <v/>
      </c>
      <c r="O122" s="429" t="str">
        <f>IF($O$111="Applicable",5,"")</f>
        <v/>
      </c>
      <c r="P122" s="411"/>
      <c r="Q122" s="411"/>
      <c r="R122" s="410"/>
    </row>
    <row r="123" spans="3:18" hidden="1" x14ac:dyDescent="0.25">
      <c r="C123" s="410"/>
      <c r="D123" s="410"/>
      <c r="E123" s="410"/>
      <c r="F123" s="410"/>
      <c r="G123" s="410"/>
      <c r="H123" s="410"/>
      <c r="I123" s="410"/>
      <c r="J123" s="410"/>
      <c r="K123" s="410"/>
      <c r="L123" s="410"/>
      <c r="M123" s="410"/>
      <c r="N123" s="410"/>
      <c r="O123" s="410"/>
      <c r="P123" s="411"/>
      <c r="Q123" s="411"/>
      <c r="R123" s="410"/>
    </row>
    <row r="124" spans="3:18" hidden="1" x14ac:dyDescent="0.25">
      <c r="C124" s="429">
        <f>COUNTIF(D19:D63,D116)</f>
        <v>0</v>
      </c>
      <c r="D124" s="411"/>
      <c r="E124" s="412"/>
      <c r="F124" s="411"/>
      <c r="G124" s="450" t="s">
        <v>654</v>
      </c>
      <c r="H124" s="410"/>
      <c r="I124" s="410"/>
      <c r="J124" s="410"/>
      <c r="K124" s="410"/>
      <c r="L124" s="410"/>
      <c r="M124" s="411"/>
      <c r="N124" s="411"/>
      <c r="O124" s="411"/>
      <c r="P124" s="411"/>
      <c r="Q124" s="411"/>
      <c r="R124" s="410"/>
    </row>
    <row r="125" spans="3:18" hidden="1" x14ac:dyDescent="0.25">
      <c r="C125" s="449" t="s">
        <v>280</v>
      </c>
      <c r="D125" s="410"/>
      <c r="E125" s="412"/>
      <c r="F125" s="411"/>
      <c r="G125" s="450" t="s">
        <v>522</v>
      </c>
      <c r="H125" s="410"/>
      <c r="I125" s="468" t="s">
        <v>695</v>
      </c>
      <c r="J125" s="469" t="s">
        <v>697</v>
      </c>
      <c r="K125" s="470">
        <v>4</v>
      </c>
      <c r="L125" s="471">
        <v>5</v>
      </c>
      <c r="M125" s="411"/>
      <c r="N125" s="411"/>
      <c r="O125" s="411"/>
      <c r="P125" s="411"/>
      <c r="Q125" s="411"/>
      <c r="R125" s="410"/>
    </row>
    <row r="126" spans="3:18" hidden="1" x14ac:dyDescent="0.25">
      <c r="D126" s="410"/>
      <c r="E126" s="412"/>
      <c r="F126" s="411"/>
      <c r="G126" s="450" t="s">
        <v>523</v>
      </c>
      <c r="H126" s="410"/>
      <c r="I126" s="429" t="s">
        <v>383</v>
      </c>
      <c r="J126" s="429">
        <v>0</v>
      </c>
      <c r="K126" s="429">
        <v>1</v>
      </c>
      <c r="L126" s="429">
        <v>2</v>
      </c>
      <c r="M126" s="411"/>
      <c r="N126" s="411"/>
      <c r="O126" s="411"/>
      <c r="P126" s="411"/>
      <c r="Q126" s="411"/>
      <c r="R126" s="410"/>
    </row>
    <row r="127" spans="3:18" hidden="1" x14ac:dyDescent="0.25">
      <c r="C127" s="429" t="s">
        <v>654</v>
      </c>
      <c r="D127" s="410"/>
      <c r="E127" s="412"/>
      <c r="F127" s="411"/>
      <c r="G127" s="450" t="s">
        <v>650</v>
      </c>
      <c r="H127" s="410"/>
      <c r="I127" s="429">
        <v>1</v>
      </c>
      <c r="J127" s="429">
        <v>1</v>
      </c>
      <c r="K127" s="429">
        <v>2</v>
      </c>
      <c r="L127" s="429">
        <v>3</v>
      </c>
      <c r="M127" s="411"/>
      <c r="N127" s="411"/>
      <c r="O127" s="411"/>
      <c r="P127" s="411"/>
      <c r="Q127" s="411"/>
      <c r="R127" s="410"/>
    </row>
    <row r="128" spans="3:18" hidden="1" x14ac:dyDescent="0.25">
      <c r="C128" s="429">
        <v>1</v>
      </c>
      <c r="D128" s="410"/>
      <c r="E128" s="412"/>
      <c r="F128" s="411"/>
      <c r="G128" s="410"/>
      <c r="H128" s="410"/>
      <c r="I128" s="429">
        <v>2</v>
      </c>
      <c r="J128" s="429">
        <v>2</v>
      </c>
      <c r="K128" s="429">
        <v>3</v>
      </c>
      <c r="L128" s="429">
        <v>4</v>
      </c>
      <c r="M128" s="411"/>
      <c r="N128" s="411"/>
      <c r="O128" s="411"/>
      <c r="P128" s="411"/>
      <c r="Q128" s="411"/>
      <c r="R128" s="410"/>
    </row>
    <row r="129" spans="3:18" hidden="1" x14ac:dyDescent="0.25">
      <c r="C129" s="429">
        <v>2</v>
      </c>
      <c r="D129" s="410"/>
      <c r="E129" s="412"/>
      <c r="F129" s="411"/>
      <c r="G129" s="450" t="s">
        <v>654</v>
      </c>
      <c r="H129" s="410"/>
      <c r="I129" s="429">
        <v>3</v>
      </c>
      <c r="J129" s="429">
        <v>3</v>
      </c>
      <c r="K129" s="429">
        <v>4</v>
      </c>
      <c r="L129" s="429">
        <v>5</v>
      </c>
      <c r="M129" s="411"/>
      <c r="N129" s="411"/>
      <c r="O129" s="411"/>
      <c r="P129" s="411"/>
      <c r="Q129" s="411"/>
      <c r="R129" s="410"/>
    </row>
    <row r="130" spans="3:18" hidden="1" x14ac:dyDescent="0.25">
      <c r="C130" s="429">
        <v>3</v>
      </c>
      <c r="D130" s="410"/>
      <c r="E130" s="412"/>
      <c r="F130" s="411"/>
      <c r="G130" s="450" t="s">
        <v>522</v>
      </c>
      <c r="H130" s="410"/>
      <c r="I130" s="429">
        <v>4</v>
      </c>
      <c r="J130" s="429">
        <v>3</v>
      </c>
      <c r="K130" s="429">
        <v>4</v>
      </c>
      <c r="L130" s="429">
        <v>5</v>
      </c>
      <c r="M130" s="411"/>
      <c r="N130" s="411"/>
      <c r="O130" s="411"/>
      <c r="P130" s="411"/>
      <c r="Q130" s="411"/>
      <c r="R130" s="410"/>
    </row>
    <row r="131" spans="3:18" hidden="1" x14ac:dyDescent="0.25">
      <c r="C131" s="429">
        <v>4</v>
      </c>
      <c r="D131" s="410"/>
      <c r="E131" s="412"/>
      <c r="F131" s="411"/>
      <c r="G131" s="450" t="str">
        <f>"No"</f>
        <v>No</v>
      </c>
      <c r="H131" s="410"/>
      <c r="I131" s="429">
        <v>5</v>
      </c>
      <c r="J131" s="429">
        <v>4</v>
      </c>
      <c r="K131" s="429">
        <v>5</v>
      </c>
      <c r="L131" s="429">
        <v>5</v>
      </c>
      <c r="M131" s="411"/>
      <c r="N131" s="411"/>
      <c r="O131" s="411"/>
      <c r="P131" s="411"/>
      <c r="Q131" s="411"/>
      <c r="R131" s="410"/>
    </row>
    <row r="132" spans="3:18" hidden="1" x14ac:dyDescent="0.25">
      <c r="C132" s="429">
        <v>5</v>
      </c>
      <c r="D132" s="410"/>
      <c r="E132" s="412"/>
      <c r="F132" s="411"/>
      <c r="G132" s="410"/>
      <c r="H132" s="410"/>
      <c r="L132" s="410"/>
      <c r="M132" s="411"/>
      <c r="N132" s="411"/>
      <c r="O132" s="411"/>
      <c r="P132" s="411"/>
      <c r="Q132" s="411"/>
      <c r="R132" s="410"/>
    </row>
    <row r="133" spans="3:18" hidden="1" x14ac:dyDescent="0.25">
      <c r="C133" s="429">
        <v>6</v>
      </c>
      <c r="D133" s="411"/>
      <c r="E133" s="411"/>
      <c r="F133" s="411"/>
      <c r="G133" s="410"/>
      <c r="H133" s="410"/>
      <c r="I133" s="468" t="s">
        <v>696</v>
      </c>
      <c r="J133" s="429" t="s">
        <v>697</v>
      </c>
      <c r="K133" s="410"/>
      <c r="L133" s="410"/>
      <c r="M133" s="411"/>
      <c r="N133" s="411"/>
      <c r="O133" s="411"/>
      <c r="P133" s="411"/>
      <c r="Q133" s="411"/>
      <c r="R133" s="410"/>
    </row>
    <row r="134" spans="3:18" hidden="1" x14ac:dyDescent="0.25">
      <c r="C134" s="429">
        <v>7</v>
      </c>
      <c r="D134" s="411"/>
      <c r="E134" s="411"/>
      <c r="F134" s="411"/>
      <c r="G134" s="450" t="s">
        <v>654</v>
      </c>
      <c r="H134" s="410"/>
      <c r="I134" s="429" t="s">
        <v>383</v>
      </c>
      <c r="J134" s="429">
        <v>0</v>
      </c>
      <c r="K134" s="411"/>
      <c r="L134" s="411"/>
      <c r="M134" s="411"/>
      <c r="N134" s="411"/>
      <c r="O134" s="411"/>
      <c r="P134" s="411"/>
      <c r="Q134" s="411"/>
      <c r="R134" s="410"/>
    </row>
    <row r="135" spans="3:18" hidden="1" x14ac:dyDescent="0.25">
      <c r="C135" s="429">
        <v>8</v>
      </c>
      <c r="D135" s="411"/>
      <c r="E135" s="411"/>
      <c r="F135" s="411"/>
      <c r="G135" s="429" t="s">
        <v>871</v>
      </c>
      <c r="H135" s="410"/>
      <c r="I135" s="429">
        <v>1</v>
      </c>
      <c r="J135" s="429">
        <v>0</v>
      </c>
      <c r="K135" s="411"/>
      <c r="L135" s="411"/>
      <c r="M135" s="411"/>
      <c r="N135" s="411"/>
      <c r="O135" s="411"/>
      <c r="P135" s="411"/>
    </row>
    <row r="136" spans="3:18" hidden="1" x14ac:dyDescent="0.25">
      <c r="C136" s="410"/>
      <c r="D136" s="411"/>
      <c r="E136" s="411"/>
      <c r="F136" s="411"/>
      <c r="G136" s="429" t="s">
        <v>872</v>
      </c>
      <c r="H136" s="410"/>
      <c r="I136" s="429">
        <v>2</v>
      </c>
      <c r="J136" s="429">
        <v>0</v>
      </c>
      <c r="K136" s="411"/>
      <c r="L136" s="411"/>
      <c r="M136" s="411"/>
      <c r="N136" s="411"/>
      <c r="O136" s="411"/>
      <c r="P136" s="411"/>
    </row>
    <row r="137" spans="3:18" hidden="1" x14ac:dyDescent="0.25">
      <c r="D137" s="410"/>
      <c r="E137" s="411"/>
      <c r="F137" s="411"/>
      <c r="G137" s="411"/>
      <c r="H137" s="410"/>
      <c r="I137" s="429">
        <v>3</v>
      </c>
      <c r="J137" s="429">
        <v>0</v>
      </c>
      <c r="K137" s="411"/>
      <c r="L137" s="411"/>
      <c r="M137" s="411"/>
      <c r="N137" s="411"/>
      <c r="O137" s="411"/>
      <c r="P137" s="411"/>
    </row>
    <row r="138" spans="3:18" hidden="1" x14ac:dyDescent="0.25">
      <c r="C138" s="450" t="s">
        <v>844</v>
      </c>
      <c r="D138" s="410"/>
      <c r="E138" s="411"/>
      <c r="F138" s="411"/>
      <c r="G138" s="411"/>
      <c r="H138" s="410"/>
      <c r="I138" s="429">
        <v>4</v>
      </c>
      <c r="J138" s="429">
        <f>IF(D7="Precipitation zone 3",0,1)</f>
        <v>1</v>
      </c>
      <c r="K138" s="411"/>
      <c r="L138" s="411"/>
      <c r="M138" s="411"/>
      <c r="N138" s="411"/>
      <c r="O138" s="411"/>
      <c r="P138" s="411"/>
    </row>
    <row r="139" spans="3:18" hidden="1" x14ac:dyDescent="0.25">
      <c r="D139" s="410"/>
      <c r="E139" s="411"/>
      <c r="F139" s="411"/>
      <c r="G139" s="411"/>
      <c r="H139" s="410"/>
      <c r="I139" s="429">
        <v>5</v>
      </c>
      <c r="J139" s="429">
        <f>IF(D7="Precipitation zone 3",1,2)</f>
        <v>2</v>
      </c>
      <c r="K139" s="411"/>
      <c r="L139" s="411"/>
      <c r="M139" s="411"/>
      <c r="N139" s="411"/>
      <c r="O139" s="411"/>
      <c r="P139" s="411"/>
    </row>
    <row r="140" spans="3:18" hidden="1" x14ac:dyDescent="0.25">
      <c r="C140" s="205" t="s">
        <v>654</v>
      </c>
      <c r="D140" s="410"/>
      <c r="E140" s="411"/>
      <c r="F140" s="411"/>
      <c r="G140" s="411"/>
      <c r="H140" s="410"/>
      <c r="I140" s="429" t="s">
        <v>902</v>
      </c>
      <c r="J140" s="429">
        <v>0</v>
      </c>
      <c r="K140" s="411"/>
      <c r="L140" s="411"/>
      <c r="M140" s="411"/>
      <c r="N140" s="411"/>
      <c r="O140" s="411"/>
      <c r="P140" s="411"/>
    </row>
    <row r="141" spans="3:18" ht="15" hidden="1" customHeight="1" x14ac:dyDescent="0.25">
      <c r="C141" s="205" t="s">
        <v>704</v>
      </c>
      <c r="D141" s="410"/>
      <c r="E141" s="411"/>
      <c r="F141" s="411"/>
      <c r="G141" s="411"/>
      <c r="H141" s="410"/>
      <c r="I141" s="410"/>
      <c r="J141" s="410"/>
      <c r="K141" s="411"/>
      <c r="L141" s="411"/>
      <c r="M141" s="411"/>
      <c r="N141" s="411"/>
      <c r="O141" s="411"/>
      <c r="P141" s="411"/>
    </row>
    <row r="142" spans="3:18" ht="15" hidden="1" customHeight="1" x14ac:dyDescent="0.25">
      <c r="C142" s="205" t="s">
        <v>708</v>
      </c>
      <c r="D142" s="410"/>
      <c r="E142" s="411"/>
      <c r="F142" s="411"/>
      <c r="G142" s="411"/>
      <c r="H142" s="467" t="s">
        <v>709</v>
      </c>
      <c r="I142" s="422" t="e">
        <f>VLOOKUP(D59,I125:J131,2,TRUE)</f>
        <v>#N/A</v>
      </c>
      <c r="J142" s="411"/>
      <c r="K142" s="411"/>
      <c r="L142" s="411"/>
      <c r="M142" s="411"/>
      <c r="N142" s="411"/>
      <c r="O142" s="411"/>
      <c r="P142" s="411"/>
    </row>
    <row r="143" spans="3:18" ht="15" hidden="1" customHeight="1" x14ac:dyDescent="0.25">
      <c r="C143" s="205" t="s">
        <v>707</v>
      </c>
      <c r="D143" s="410"/>
      <c r="E143" s="411"/>
      <c r="F143" s="411"/>
      <c r="G143" s="411"/>
      <c r="H143" s="467" t="s">
        <v>710</v>
      </c>
      <c r="I143" s="429">
        <f>VLOOKUP(G73,I134:J140,2,TRUE)</f>
        <v>0</v>
      </c>
      <c r="J143" s="411"/>
      <c r="K143" s="411"/>
      <c r="L143" s="411"/>
      <c r="M143" s="411"/>
      <c r="N143" s="411"/>
      <c r="O143" s="411"/>
      <c r="P143" s="411"/>
    </row>
    <row r="144" spans="3:18" hidden="1" x14ac:dyDescent="0.25">
      <c r="D144" s="410"/>
      <c r="E144" s="411"/>
      <c r="F144" s="411"/>
      <c r="G144" s="411"/>
      <c r="H144" s="467" t="s">
        <v>5</v>
      </c>
      <c r="I144" s="429" t="e">
        <f>IF(SUM(I142+I143)&gt;5,5,SUM(I142+I143))</f>
        <v>#N/A</v>
      </c>
      <c r="J144" s="473" t="s">
        <v>711</v>
      </c>
      <c r="K144" s="411"/>
      <c r="L144" s="411"/>
      <c r="M144" s="411"/>
      <c r="N144" s="411"/>
      <c r="O144" s="411"/>
      <c r="P144" s="411"/>
    </row>
    <row r="145" spans="3:16" hidden="1" x14ac:dyDescent="0.25">
      <c r="C145" s="450" t="s">
        <v>654</v>
      </c>
      <c r="D145" s="410"/>
      <c r="E145" s="411"/>
      <c r="F145" s="411"/>
      <c r="G145" s="411"/>
      <c r="H145" s="410"/>
      <c r="I145" s="411"/>
      <c r="J145" s="411"/>
      <c r="K145" s="411"/>
      <c r="L145" s="411"/>
      <c r="M145" s="411"/>
      <c r="N145" s="411"/>
      <c r="O145" s="411"/>
      <c r="P145" s="411"/>
    </row>
    <row r="146" spans="3:16" hidden="1" x14ac:dyDescent="0.25">
      <c r="C146" s="450" t="s">
        <v>854</v>
      </c>
      <c r="D146" s="410"/>
      <c r="E146" s="411"/>
      <c r="F146" s="411"/>
      <c r="G146" s="411"/>
      <c r="H146" s="410"/>
      <c r="I146" s="411"/>
      <c r="J146" s="411"/>
      <c r="K146" s="411"/>
      <c r="L146" s="411"/>
      <c r="M146" s="411"/>
      <c r="N146" s="411"/>
      <c r="O146" s="411"/>
      <c r="P146" s="411"/>
    </row>
    <row r="147" spans="3:16" hidden="1" x14ac:dyDescent="0.25">
      <c r="C147" s="450" t="s">
        <v>732</v>
      </c>
      <c r="D147" s="410"/>
      <c r="E147" s="411"/>
      <c r="F147" s="411"/>
      <c r="G147" s="411"/>
      <c r="H147" s="410"/>
      <c r="I147" s="411"/>
      <c r="J147" s="411"/>
      <c r="K147" s="411"/>
      <c r="L147" s="411"/>
      <c r="M147" s="411"/>
      <c r="N147" s="411"/>
      <c r="O147" s="411"/>
      <c r="P147" s="411"/>
    </row>
    <row r="148" spans="3:16" hidden="1" x14ac:dyDescent="0.25">
      <c r="C148" s="450" t="s">
        <v>853</v>
      </c>
      <c r="D148" s="410"/>
      <c r="E148" s="411"/>
      <c r="F148" s="411"/>
      <c r="G148" s="411"/>
      <c r="H148" s="410"/>
      <c r="I148" s="411"/>
      <c r="J148" s="411"/>
      <c r="K148" s="411"/>
      <c r="L148" s="411"/>
      <c r="M148" s="411"/>
      <c r="N148" s="411"/>
      <c r="O148" s="411"/>
      <c r="P148" s="411"/>
    </row>
    <row r="149" spans="3:16" hidden="1" x14ac:dyDescent="0.25">
      <c r="C149" s="450" t="s">
        <v>855</v>
      </c>
      <c r="D149" s="410"/>
      <c r="E149" s="411"/>
      <c r="F149" s="411"/>
      <c r="G149" s="411"/>
      <c r="H149" s="410"/>
      <c r="I149" s="411"/>
      <c r="J149" s="411"/>
      <c r="K149" s="411"/>
      <c r="L149" s="411"/>
      <c r="M149" s="411"/>
      <c r="N149" s="411"/>
      <c r="O149" s="411"/>
      <c r="P149" s="411"/>
    </row>
    <row r="150" spans="3:16" hidden="1" x14ac:dyDescent="0.25">
      <c r="C150" s="450" t="s">
        <v>856</v>
      </c>
      <c r="D150" s="410"/>
      <c r="E150" s="411"/>
      <c r="F150" s="411"/>
      <c r="G150" s="411"/>
      <c r="H150" s="410"/>
      <c r="I150" s="411"/>
      <c r="J150" s="411"/>
      <c r="K150" s="411"/>
      <c r="L150" s="411"/>
      <c r="M150" s="411"/>
      <c r="N150" s="411"/>
      <c r="O150" s="411"/>
      <c r="P150" s="411"/>
    </row>
    <row r="151" spans="3:16" hidden="1" x14ac:dyDescent="0.25">
      <c r="C151" s="450" t="s">
        <v>903</v>
      </c>
      <c r="D151" s="410"/>
      <c r="E151" s="411"/>
      <c r="F151" s="411"/>
      <c r="G151" s="411"/>
      <c r="H151" s="410"/>
      <c r="I151" s="411"/>
      <c r="J151" s="411"/>
      <c r="K151" s="411"/>
      <c r="L151" s="411"/>
      <c r="M151" s="411"/>
      <c r="N151" s="411"/>
      <c r="O151" s="411"/>
      <c r="P151" s="411"/>
    </row>
    <row r="152" spans="3:16" hidden="1" x14ac:dyDescent="0.25">
      <c r="C152" s="450" t="s">
        <v>904</v>
      </c>
      <c r="D152" s="410"/>
      <c r="E152" s="411"/>
      <c r="F152" s="411"/>
      <c r="G152" s="411"/>
      <c r="H152" s="410"/>
      <c r="I152" s="411"/>
      <c r="J152" s="411"/>
      <c r="K152" s="411"/>
      <c r="L152" s="411"/>
      <c r="M152" s="411"/>
      <c r="N152" s="411"/>
      <c r="O152" s="411"/>
      <c r="P152" s="411"/>
    </row>
    <row r="153" spans="3:16" hidden="1" x14ac:dyDescent="0.25">
      <c r="C153" s="450" t="s">
        <v>905</v>
      </c>
      <c r="D153" s="410"/>
      <c r="E153" s="411"/>
      <c r="F153" s="411"/>
      <c r="G153" s="411"/>
      <c r="H153" s="410"/>
      <c r="I153" s="411"/>
      <c r="J153" s="411"/>
      <c r="K153" s="411"/>
      <c r="L153" s="411"/>
      <c r="M153" s="411"/>
      <c r="N153" s="411"/>
      <c r="O153" s="411"/>
      <c r="P153" s="411"/>
    </row>
    <row r="154" spans="3:16" hidden="1" x14ac:dyDescent="0.25">
      <c r="C154" s="450" t="s">
        <v>857</v>
      </c>
      <c r="D154" s="410"/>
      <c r="E154" s="411"/>
      <c r="F154" s="411"/>
      <c r="G154" s="411"/>
      <c r="H154" s="410"/>
      <c r="I154" s="411"/>
      <c r="J154" s="411"/>
      <c r="K154" s="411"/>
      <c r="L154" s="411"/>
      <c r="M154" s="411"/>
      <c r="N154" s="411"/>
      <c r="O154" s="411"/>
      <c r="P154" s="411"/>
    </row>
    <row r="155" spans="3:16" hidden="1" x14ac:dyDescent="0.25">
      <c r="C155" s="450" t="s">
        <v>858</v>
      </c>
      <c r="D155" s="410"/>
      <c r="E155" s="411"/>
      <c r="F155" s="411"/>
      <c r="G155" s="411"/>
      <c r="H155" s="410"/>
      <c r="I155" s="411"/>
      <c r="J155" s="411"/>
      <c r="K155" s="411"/>
      <c r="L155" s="411"/>
      <c r="M155" s="411"/>
      <c r="N155" s="411"/>
      <c r="O155" s="411"/>
      <c r="P155" s="411"/>
    </row>
    <row r="156" spans="3:16" hidden="1" x14ac:dyDescent="0.25">
      <c r="C156" s="450" t="s">
        <v>859</v>
      </c>
      <c r="D156" s="410"/>
      <c r="E156" s="411"/>
      <c r="F156" s="411"/>
      <c r="G156" s="411"/>
      <c r="H156" s="410"/>
      <c r="I156" s="411"/>
      <c r="J156" s="411"/>
      <c r="K156" s="411"/>
      <c r="L156" s="411"/>
      <c r="M156" s="411"/>
      <c r="N156" s="411"/>
      <c r="O156" s="411"/>
      <c r="P156" s="411"/>
    </row>
    <row r="157" spans="3:16" hidden="1" x14ac:dyDescent="0.25">
      <c r="C157" s="450" t="s">
        <v>996</v>
      </c>
      <c r="D157" s="410" t="s">
        <v>960</v>
      </c>
      <c r="E157" s="411"/>
      <c r="F157" s="411"/>
      <c r="G157" s="411"/>
      <c r="H157" s="410"/>
      <c r="I157" s="411"/>
      <c r="J157" s="411"/>
      <c r="K157" s="411"/>
      <c r="L157" s="411"/>
      <c r="M157" s="411"/>
      <c r="N157" s="411"/>
      <c r="O157" s="411"/>
      <c r="P157" s="411"/>
    </row>
    <row r="158" spans="3:16" hidden="1" x14ac:dyDescent="0.25">
      <c r="D158" s="410"/>
      <c r="E158" s="411"/>
      <c r="F158" s="411"/>
      <c r="G158" s="411"/>
      <c r="H158" s="410"/>
      <c r="I158" s="411"/>
      <c r="J158" s="411"/>
      <c r="K158" s="411"/>
      <c r="L158" s="411"/>
      <c r="M158" s="411"/>
      <c r="N158" s="411"/>
      <c r="O158" s="411"/>
      <c r="P158" s="411"/>
    </row>
    <row r="159" spans="3:16" hidden="1" x14ac:dyDescent="0.25">
      <c r="C159" s="450" t="s">
        <v>654</v>
      </c>
      <c r="D159" s="410"/>
      <c r="E159" s="411"/>
      <c r="F159" s="411"/>
      <c r="G159" s="411"/>
      <c r="H159" s="410"/>
      <c r="I159" s="411"/>
      <c r="J159" s="411"/>
      <c r="K159" s="411"/>
      <c r="L159" s="411"/>
      <c r="M159" s="411"/>
      <c r="N159" s="411"/>
      <c r="O159" s="411"/>
      <c r="P159" s="411"/>
    </row>
    <row r="160" spans="3:16" hidden="1" x14ac:dyDescent="0.25">
      <c r="C160" s="450" t="s">
        <v>998</v>
      </c>
      <c r="D160" s="410"/>
      <c r="E160" s="411"/>
      <c r="F160" s="411"/>
      <c r="G160" s="411"/>
      <c r="H160" s="410"/>
      <c r="I160" s="411"/>
      <c r="J160" s="411"/>
      <c r="K160" s="411"/>
      <c r="L160" s="411"/>
      <c r="M160" s="411"/>
      <c r="N160" s="411"/>
      <c r="O160" s="411"/>
      <c r="P160" s="411"/>
    </row>
    <row r="161" spans="3:16" hidden="1" x14ac:dyDescent="0.25">
      <c r="C161" s="450" t="s">
        <v>975</v>
      </c>
      <c r="D161" s="410"/>
      <c r="E161" s="411"/>
      <c r="F161" s="411"/>
      <c r="G161" s="411"/>
      <c r="H161" s="410"/>
      <c r="I161" s="411"/>
      <c r="J161" s="411"/>
      <c r="K161" s="411"/>
      <c r="L161" s="411"/>
      <c r="M161" s="411"/>
      <c r="N161" s="411"/>
      <c r="O161" s="411"/>
      <c r="P161" s="411"/>
    </row>
    <row r="162" spans="3:16" hidden="1" x14ac:dyDescent="0.25">
      <c r="C162" s="450" t="s">
        <v>994</v>
      </c>
      <c r="D162" s="410"/>
      <c r="E162" s="411"/>
      <c r="F162" s="411"/>
      <c r="G162" s="411"/>
      <c r="H162" s="410"/>
      <c r="I162" s="411"/>
      <c r="J162" s="411"/>
      <c r="K162" s="411"/>
      <c r="L162" s="411"/>
      <c r="M162" s="411"/>
      <c r="N162" s="411"/>
      <c r="O162" s="411"/>
      <c r="P162" s="411"/>
    </row>
    <row r="163" spans="3:16" hidden="1" x14ac:dyDescent="0.25">
      <c r="C163" s="410"/>
      <c r="D163" s="410"/>
      <c r="E163" s="411"/>
      <c r="F163" s="411"/>
      <c r="G163" s="411"/>
      <c r="H163" s="410"/>
      <c r="I163" s="411"/>
      <c r="J163" s="411"/>
      <c r="K163" s="411"/>
      <c r="L163" s="411"/>
      <c r="M163" s="411"/>
      <c r="N163" s="411"/>
      <c r="O163" s="411"/>
      <c r="P163" s="411"/>
    </row>
    <row r="164" spans="3:16" hidden="1" x14ac:dyDescent="0.25">
      <c r="C164" s="410"/>
      <c r="D164" s="410"/>
      <c r="E164" s="411"/>
      <c r="F164" s="411"/>
      <c r="G164" s="411"/>
      <c r="H164" s="410"/>
      <c r="I164" s="411"/>
      <c r="J164" s="411"/>
      <c r="K164" s="411"/>
      <c r="L164" s="411"/>
      <c r="M164" s="411"/>
      <c r="N164" s="411"/>
      <c r="O164" s="411"/>
      <c r="P164" s="411"/>
    </row>
    <row r="165" spans="3:16" hidden="1" x14ac:dyDescent="0.25">
      <c r="C165" s="573"/>
      <c r="D165" s="410"/>
      <c r="E165" s="411"/>
      <c r="F165" s="411"/>
      <c r="G165" s="411"/>
      <c r="H165" s="410"/>
      <c r="I165" s="411"/>
      <c r="J165" s="411"/>
      <c r="K165" s="411"/>
      <c r="L165" s="411"/>
      <c r="M165" s="411"/>
      <c r="N165" s="411"/>
      <c r="O165" s="411"/>
      <c r="P165" s="411"/>
    </row>
    <row r="166" spans="3:16" hidden="1" x14ac:dyDescent="0.25">
      <c r="C166" s="450" t="s">
        <v>997</v>
      </c>
      <c r="D166" s="410"/>
      <c r="E166" s="411"/>
      <c r="F166" s="411"/>
      <c r="G166" s="411"/>
      <c r="H166" s="410"/>
      <c r="I166" s="411"/>
      <c r="J166" s="411"/>
      <c r="K166" s="411"/>
      <c r="L166" s="411"/>
      <c r="M166" s="411"/>
      <c r="N166" s="411"/>
      <c r="O166" s="411"/>
      <c r="P166" s="411"/>
    </row>
    <row r="167" spans="3:16" hidden="1" x14ac:dyDescent="0.25">
      <c r="C167" s="450" t="s">
        <v>995</v>
      </c>
      <c r="D167" s="410"/>
      <c r="E167" s="411"/>
      <c r="F167" s="411"/>
      <c r="G167" s="411"/>
      <c r="H167" s="410"/>
      <c r="I167" s="411"/>
      <c r="J167" s="411"/>
      <c r="K167" s="411"/>
      <c r="L167" s="411"/>
      <c r="M167" s="411"/>
      <c r="N167" s="411"/>
      <c r="O167" s="411"/>
      <c r="P167" s="411"/>
    </row>
    <row r="168" spans="3:16" hidden="1" x14ac:dyDescent="0.25">
      <c r="C168" s="450" t="s">
        <v>999</v>
      </c>
      <c r="D168" s="410"/>
      <c r="E168" s="411"/>
      <c r="F168" s="411"/>
      <c r="G168" s="411"/>
      <c r="H168" s="410"/>
      <c r="I168" s="411"/>
      <c r="J168" s="411"/>
      <c r="K168" s="411"/>
      <c r="L168" s="411"/>
      <c r="M168" s="411"/>
      <c r="N168" s="411"/>
      <c r="O168" s="411"/>
      <c r="P168" s="411"/>
    </row>
    <row r="169" spans="3:16" hidden="1" x14ac:dyDescent="0.25">
      <c r="C169" s="450" t="s">
        <v>996</v>
      </c>
      <c r="D169" s="410"/>
      <c r="E169" s="411"/>
      <c r="F169" s="411"/>
      <c r="G169" s="411"/>
      <c r="H169" s="410"/>
      <c r="I169" s="411"/>
      <c r="J169" s="411"/>
      <c r="K169" s="411"/>
      <c r="L169" s="411"/>
      <c r="M169" s="411"/>
      <c r="N169" s="411"/>
      <c r="O169" s="411"/>
      <c r="P169" s="411"/>
    </row>
    <row r="170" spans="3:16" hidden="1" x14ac:dyDescent="0.25">
      <c r="C170" s="450" t="s">
        <v>857</v>
      </c>
      <c r="D170" s="410"/>
      <c r="E170" s="411"/>
      <c r="F170" s="411"/>
      <c r="G170" s="411"/>
      <c r="H170" s="410"/>
      <c r="I170" s="411"/>
      <c r="J170" s="411"/>
      <c r="K170" s="411"/>
      <c r="L170" s="411"/>
      <c r="M170" s="411"/>
      <c r="N170" s="411"/>
      <c r="O170" s="411"/>
      <c r="P170" s="411"/>
    </row>
    <row r="171" spans="3:16" hidden="1" x14ac:dyDescent="0.25">
      <c r="C171" s="581" t="s">
        <v>1009</v>
      </c>
      <c r="D171" s="410"/>
      <c r="E171" s="411"/>
      <c r="F171" s="411"/>
      <c r="G171" s="411"/>
      <c r="H171" s="410"/>
      <c r="I171" s="411"/>
      <c r="J171" s="411"/>
      <c r="K171" s="411"/>
      <c r="L171" s="411"/>
      <c r="M171" s="411"/>
      <c r="N171" s="411"/>
      <c r="O171" s="411"/>
      <c r="P171" s="411"/>
    </row>
    <row r="172" spans="3:16" hidden="1" x14ac:dyDescent="0.25">
      <c r="C172" s="450" t="s">
        <v>859</v>
      </c>
      <c r="D172" s="410"/>
      <c r="E172" s="411"/>
      <c r="F172" s="411"/>
      <c r="G172" s="411"/>
      <c r="H172" s="410"/>
      <c r="I172" s="411"/>
      <c r="J172" s="411"/>
      <c r="K172" s="411"/>
      <c r="L172" s="411"/>
      <c r="M172" s="411"/>
      <c r="N172" s="411"/>
      <c r="O172" s="411"/>
      <c r="P172" s="411"/>
    </row>
    <row r="173" spans="3:16" x14ac:dyDescent="0.25">
      <c r="C173" s="410"/>
      <c r="D173" s="410"/>
      <c r="E173" s="411"/>
      <c r="F173" s="411"/>
      <c r="G173" s="411"/>
      <c r="H173" s="410"/>
      <c r="I173" s="411"/>
      <c r="J173" s="411"/>
      <c r="K173" s="411"/>
      <c r="L173" s="411"/>
      <c r="M173" s="411"/>
      <c r="N173" s="411"/>
      <c r="O173" s="411"/>
      <c r="P173" s="411"/>
    </row>
    <row r="174" spans="3:16" x14ac:dyDescent="0.25">
      <c r="C174" s="410"/>
      <c r="D174" s="410"/>
      <c r="E174" s="411"/>
      <c r="F174" s="411"/>
      <c r="G174" s="411"/>
      <c r="H174" s="410"/>
      <c r="I174" s="411"/>
      <c r="J174" s="411"/>
      <c r="K174" s="411"/>
      <c r="L174" s="411"/>
      <c r="M174" s="411"/>
      <c r="N174" s="411"/>
      <c r="O174" s="411"/>
      <c r="P174" s="411"/>
    </row>
    <row r="175" spans="3:16" x14ac:dyDescent="0.25">
      <c r="C175" s="410"/>
      <c r="D175" s="410"/>
      <c r="E175" s="411"/>
      <c r="F175" s="411"/>
      <c r="G175" s="411"/>
      <c r="H175" s="410"/>
      <c r="I175" s="411"/>
      <c r="J175" s="411"/>
      <c r="K175" s="411"/>
      <c r="L175" s="411"/>
      <c r="M175" s="411"/>
      <c r="N175" s="411"/>
      <c r="O175" s="411"/>
      <c r="P175" s="411"/>
    </row>
    <row r="176" spans="3:16" x14ac:dyDescent="0.25">
      <c r="C176" s="410"/>
      <c r="D176" s="410"/>
      <c r="E176" s="411"/>
      <c r="F176" s="411"/>
      <c r="G176" s="411"/>
      <c r="H176" s="410"/>
      <c r="I176" s="411"/>
      <c r="J176" s="411"/>
      <c r="K176" s="411"/>
      <c r="L176" s="411"/>
      <c r="M176" s="411"/>
      <c r="N176" s="411"/>
      <c r="O176" s="411"/>
      <c r="P176" s="411"/>
    </row>
    <row r="177" spans="3:16" x14ac:dyDescent="0.25">
      <c r="C177" s="410"/>
      <c r="D177" s="410"/>
      <c r="E177" s="411"/>
      <c r="F177" s="411"/>
      <c r="G177" s="411"/>
      <c r="H177" s="410"/>
      <c r="I177" s="411"/>
      <c r="J177" s="411"/>
      <c r="K177" s="411"/>
      <c r="L177" s="411"/>
      <c r="M177" s="411"/>
      <c r="N177" s="411"/>
      <c r="O177" s="411"/>
      <c r="P177" s="411"/>
    </row>
    <row r="178" spans="3:16" x14ac:dyDescent="0.25">
      <c r="C178" s="410"/>
      <c r="D178" s="410"/>
      <c r="E178" s="411"/>
      <c r="F178" s="411"/>
      <c r="G178" s="411"/>
      <c r="H178" s="410"/>
      <c r="I178" s="411"/>
      <c r="J178" s="411"/>
      <c r="K178" s="411"/>
      <c r="L178" s="411"/>
      <c r="M178" s="411"/>
      <c r="N178" s="411"/>
      <c r="O178" s="411"/>
      <c r="P178" s="411"/>
    </row>
    <row r="179" spans="3:16" x14ac:dyDescent="0.25">
      <c r="C179" s="410"/>
      <c r="D179" s="410"/>
      <c r="E179" s="411"/>
      <c r="F179" s="411"/>
      <c r="G179" s="411"/>
      <c r="H179" s="410"/>
      <c r="I179" s="411"/>
      <c r="J179" s="411"/>
      <c r="K179" s="411"/>
      <c r="L179" s="411"/>
      <c r="M179" s="411"/>
      <c r="N179" s="411"/>
      <c r="O179" s="411"/>
      <c r="P179" s="411"/>
    </row>
    <row r="180" spans="3:16" x14ac:dyDescent="0.25">
      <c r="C180" s="410"/>
      <c r="D180" s="410"/>
      <c r="E180" s="411"/>
      <c r="F180" s="411"/>
      <c r="G180" s="411"/>
      <c r="H180" s="410"/>
      <c r="I180" s="411"/>
      <c r="J180" s="411"/>
      <c r="K180" s="411"/>
      <c r="L180" s="411"/>
      <c r="M180" s="411"/>
      <c r="N180" s="411"/>
      <c r="O180" s="411"/>
      <c r="P180" s="411"/>
    </row>
    <row r="181" spans="3:16" x14ac:dyDescent="0.25">
      <c r="C181" s="410"/>
      <c r="D181" s="410"/>
      <c r="E181" s="411"/>
      <c r="F181" s="411"/>
      <c r="G181" s="411"/>
      <c r="H181" s="410"/>
      <c r="I181" s="411"/>
      <c r="J181" s="411"/>
      <c r="K181" s="411"/>
      <c r="L181" s="411"/>
      <c r="M181" s="411"/>
      <c r="N181" s="411"/>
      <c r="O181" s="411"/>
      <c r="P181" s="411"/>
    </row>
    <row r="182" spans="3:16" x14ac:dyDescent="0.25">
      <c r="C182" s="410"/>
      <c r="D182" s="410"/>
      <c r="E182" s="411"/>
      <c r="F182" s="411"/>
      <c r="G182" s="411"/>
      <c r="H182" s="410"/>
      <c r="I182" s="411"/>
      <c r="J182" s="411"/>
      <c r="K182" s="411"/>
      <c r="L182" s="411"/>
      <c r="M182" s="411"/>
      <c r="N182" s="411"/>
      <c r="O182" s="411"/>
      <c r="P182" s="411"/>
    </row>
    <row r="183" spans="3:16" x14ac:dyDescent="0.25">
      <c r="C183" s="410"/>
      <c r="D183" s="410"/>
      <c r="E183" s="411"/>
      <c r="F183" s="411"/>
      <c r="G183" s="411"/>
      <c r="H183" s="410"/>
      <c r="I183" s="411"/>
      <c r="J183" s="411"/>
      <c r="K183" s="411"/>
      <c r="L183" s="411"/>
      <c r="M183" s="411"/>
      <c r="N183" s="411"/>
      <c r="O183" s="411"/>
      <c r="P183" s="411"/>
    </row>
    <row r="184" spans="3:16" x14ac:dyDescent="0.25">
      <c r="C184" s="410"/>
      <c r="D184" s="410"/>
      <c r="E184" s="411"/>
      <c r="F184" s="411"/>
      <c r="G184" s="411"/>
      <c r="H184" s="410"/>
      <c r="I184" s="411"/>
      <c r="J184" s="411"/>
      <c r="K184" s="411"/>
      <c r="L184" s="411"/>
      <c r="M184" s="411"/>
      <c r="N184" s="411"/>
      <c r="O184" s="411"/>
      <c r="P184" s="411"/>
    </row>
    <row r="185" spans="3:16" x14ac:dyDescent="0.25">
      <c r="C185" s="410"/>
      <c r="D185" s="410"/>
      <c r="E185" s="411"/>
      <c r="F185" s="411"/>
      <c r="G185" s="411"/>
      <c r="H185" s="410"/>
      <c r="I185" s="411"/>
      <c r="J185" s="411"/>
      <c r="K185" s="411"/>
      <c r="L185" s="411"/>
      <c r="M185" s="411"/>
      <c r="N185" s="411"/>
      <c r="O185" s="411"/>
      <c r="P185" s="411"/>
    </row>
    <row r="186" spans="3:16" x14ac:dyDescent="0.25">
      <c r="C186" s="410"/>
      <c r="D186" s="410"/>
      <c r="E186" s="411"/>
      <c r="F186" s="411"/>
      <c r="G186" s="411"/>
      <c r="H186" s="410"/>
      <c r="I186" s="411"/>
      <c r="J186" s="411"/>
      <c r="K186" s="411"/>
      <c r="L186" s="411"/>
      <c r="M186" s="411"/>
      <c r="N186" s="411"/>
      <c r="O186" s="411"/>
      <c r="P186" s="411"/>
    </row>
    <row r="187" spans="3:16" x14ac:dyDescent="0.25">
      <c r="C187" s="410"/>
      <c r="D187" s="410"/>
      <c r="E187" s="411"/>
      <c r="F187" s="411"/>
      <c r="G187" s="411"/>
      <c r="H187" s="410"/>
      <c r="I187" s="411"/>
      <c r="J187" s="411"/>
      <c r="K187" s="411"/>
      <c r="L187" s="411"/>
      <c r="M187" s="411"/>
      <c r="N187" s="411"/>
      <c r="O187" s="411"/>
      <c r="P187" s="411"/>
    </row>
    <row r="188" spans="3:16" x14ac:dyDescent="0.25">
      <c r="C188" s="410"/>
      <c r="D188" s="410"/>
      <c r="E188" s="411"/>
      <c r="F188" s="411"/>
      <c r="G188" s="411"/>
      <c r="H188" s="410"/>
      <c r="I188" s="411"/>
      <c r="J188" s="411"/>
      <c r="K188" s="411"/>
      <c r="L188" s="411"/>
      <c r="M188" s="411"/>
      <c r="N188" s="411"/>
      <c r="O188" s="411"/>
      <c r="P188" s="411"/>
    </row>
    <row r="189" spans="3:16" x14ac:dyDescent="0.25">
      <c r="C189" s="410"/>
      <c r="D189" s="410"/>
      <c r="E189" s="411"/>
      <c r="F189" s="411"/>
      <c r="G189" s="411"/>
      <c r="H189" s="410"/>
      <c r="I189" s="411"/>
      <c r="J189" s="411"/>
      <c r="K189" s="411"/>
      <c r="L189" s="411"/>
      <c r="M189" s="411"/>
      <c r="N189" s="411"/>
      <c r="O189" s="411"/>
      <c r="P189" s="411"/>
    </row>
    <row r="190" spans="3:16" x14ac:dyDescent="0.25">
      <c r="C190" s="410"/>
      <c r="D190" s="410"/>
      <c r="E190" s="411"/>
      <c r="F190" s="411"/>
      <c r="G190" s="411"/>
      <c r="H190" s="410"/>
      <c r="I190" s="411"/>
      <c r="J190" s="411"/>
      <c r="K190" s="411"/>
      <c r="L190" s="411"/>
      <c r="M190" s="411"/>
      <c r="N190" s="411"/>
      <c r="O190" s="411"/>
      <c r="P190" s="411"/>
    </row>
    <row r="191" spans="3:16" x14ac:dyDescent="0.25">
      <c r="C191" s="410"/>
      <c r="D191" s="410"/>
      <c r="E191" s="411"/>
      <c r="F191" s="411"/>
      <c r="G191" s="411"/>
      <c r="H191" s="410"/>
      <c r="I191" s="411"/>
      <c r="J191" s="411"/>
      <c r="K191" s="411"/>
      <c r="L191" s="411"/>
      <c r="M191" s="411"/>
      <c r="N191" s="411"/>
      <c r="O191" s="411"/>
      <c r="P191" s="411"/>
    </row>
    <row r="192" spans="3:16" x14ac:dyDescent="0.25">
      <c r="C192" s="410"/>
      <c r="D192" s="410"/>
      <c r="E192" s="411"/>
      <c r="F192" s="411"/>
      <c r="G192" s="411"/>
      <c r="H192" s="410"/>
      <c r="I192" s="411"/>
      <c r="J192" s="411"/>
      <c r="K192" s="411"/>
      <c r="L192" s="411"/>
      <c r="M192" s="411"/>
      <c r="N192" s="411"/>
      <c r="O192" s="411"/>
      <c r="P192" s="411"/>
    </row>
    <row r="193" spans="3:16" x14ac:dyDescent="0.25">
      <c r="C193" s="410"/>
      <c r="D193" s="410"/>
      <c r="E193" s="411"/>
      <c r="F193" s="411"/>
      <c r="G193" s="411"/>
      <c r="H193" s="410"/>
      <c r="I193" s="411"/>
      <c r="J193" s="411"/>
      <c r="K193" s="411"/>
      <c r="L193" s="411"/>
      <c r="M193" s="411"/>
      <c r="N193" s="411"/>
      <c r="O193" s="411"/>
      <c r="P193" s="411"/>
    </row>
    <row r="194" spans="3:16" x14ac:dyDescent="0.25">
      <c r="C194" s="410"/>
      <c r="D194" s="410"/>
      <c r="E194" s="411"/>
      <c r="F194" s="411"/>
      <c r="G194" s="411"/>
      <c r="H194" s="410"/>
      <c r="I194" s="411"/>
      <c r="J194" s="411"/>
      <c r="K194" s="411"/>
      <c r="L194" s="411"/>
      <c r="M194" s="411"/>
      <c r="N194" s="411"/>
      <c r="O194" s="411"/>
      <c r="P194" s="411"/>
    </row>
    <row r="195" spans="3:16" x14ac:dyDescent="0.25">
      <c r="C195" s="410"/>
      <c r="D195" s="410"/>
      <c r="E195" s="411"/>
      <c r="F195" s="411"/>
      <c r="G195" s="411"/>
      <c r="H195" s="410"/>
      <c r="I195" s="411"/>
      <c r="J195" s="411"/>
      <c r="K195" s="411"/>
      <c r="L195" s="411"/>
      <c r="M195" s="411"/>
      <c r="N195" s="411"/>
      <c r="O195" s="411"/>
      <c r="P195" s="411"/>
    </row>
    <row r="196" spans="3:16" x14ac:dyDescent="0.25">
      <c r="C196" s="410"/>
      <c r="D196" s="410"/>
      <c r="E196" s="411"/>
      <c r="F196" s="411"/>
      <c r="G196" s="411"/>
      <c r="H196" s="410"/>
      <c r="I196" s="411"/>
      <c r="J196" s="411"/>
      <c r="K196" s="411"/>
      <c r="L196" s="411"/>
      <c r="M196" s="411"/>
      <c r="N196" s="411"/>
      <c r="O196" s="411"/>
      <c r="P196" s="411"/>
    </row>
    <row r="197" spans="3:16" x14ac:dyDescent="0.25">
      <c r="C197" s="410"/>
      <c r="D197" s="410"/>
      <c r="E197" s="411"/>
      <c r="F197" s="411"/>
      <c r="G197" s="411"/>
      <c r="H197" s="410"/>
      <c r="I197" s="411"/>
      <c r="J197" s="411"/>
      <c r="K197" s="411"/>
      <c r="L197" s="411"/>
      <c r="M197" s="411"/>
      <c r="N197" s="411"/>
      <c r="O197" s="411"/>
      <c r="P197" s="411"/>
    </row>
    <row r="198" spans="3:16" x14ac:dyDescent="0.25">
      <c r="C198" s="410"/>
      <c r="D198" s="410"/>
      <c r="E198" s="411"/>
      <c r="F198" s="411"/>
      <c r="G198" s="411"/>
      <c r="H198" s="410"/>
      <c r="I198" s="411"/>
      <c r="J198" s="411"/>
      <c r="K198" s="411"/>
      <c r="L198" s="411"/>
      <c r="M198" s="411"/>
      <c r="N198" s="411"/>
      <c r="O198" s="411"/>
      <c r="P198" s="411"/>
    </row>
    <row r="199" spans="3:16" x14ac:dyDescent="0.25">
      <c r="C199" s="410"/>
      <c r="D199" s="410"/>
      <c r="E199" s="411"/>
      <c r="F199" s="411"/>
      <c r="G199" s="411"/>
      <c r="H199" s="410"/>
      <c r="I199" s="411"/>
      <c r="J199" s="411"/>
      <c r="K199" s="411"/>
      <c r="L199" s="411"/>
      <c r="M199" s="411"/>
      <c r="N199" s="411"/>
      <c r="O199" s="411"/>
      <c r="P199" s="411"/>
    </row>
    <row r="200" spans="3:16" x14ac:dyDescent="0.25">
      <c r="C200" s="410"/>
      <c r="D200" s="410"/>
      <c r="E200" s="411"/>
      <c r="F200" s="411"/>
      <c r="G200" s="411"/>
      <c r="H200" s="410"/>
      <c r="I200" s="411"/>
      <c r="J200" s="411"/>
      <c r="K200" s="411"/>
      <c r="L200" s="411"/>
      <c r="M200" s="411"/>
      <c r="N200" s="411"/>
      <c r="O200" s="411"/>
      <c r="P200" s="411"/>
    </row>
    <row r="201" spans="3:16" x14ac:dyDescent="0.25">
      <c r="C201" s="410"/>
      <c r="D201" s="410"/>
      <c r="E201" s="411"/>
      <c r="F201" s="411"/>
      <c r="G201" s="411"/>
      <c r="H201" s="410"/>
      <c r="I201" s="411"/>
      <c r="J201" s="411"/>
      <c r="K201" s="411"/>
      <c r="L201" s="411"/>
      <c r="M201" s="411"/>
      <c r="N201" s="411"/>
      <c r="O201" s="411"/>
      <c r="P201" s="411"/>
    </row>
    <row r="202" spans="3:16" x14ac:dyDescent="0.25">
      <c r="C202" s="410"/>
      <c r="D202" s="410"/>
      <c r="E202" s="411"/>
      <c r="F202" s="411"/>
      <c r="G202" s="411"/>
      <c r="H202" s="410"/>
      <c r="I202" s="411"/>
      <c r="J202" s="411"/>
      <c r="K202" s="411"/>
      <c r="L202" s="411"/>
      <c r="M202" s="411"/>
      <c r="N202" s="411"/>
      <c r="O202" s="411"/>
      <c r="P202" s="411"/>
    </row>
    <row r="203" spans="3:16" x14ac:dyDescent="0.25">
      <c r="C203" s="410"/>
      <c r="D203" s="410"/>
      <c r="E203" s="411"/>
      <c r="F203" s="411"/>
      <c r="G203" s="411"/>
      <c r="H203" s="410"/>
      <c r="I203" s="411"/>
      <c r="J203" s="411"/>
      <c r="K203" s="411"/>
      <c r="L203" s="411"/>
      <c r="M203" s="411"/>
      <c r="N203" s="411"/>
      <c r="O203" s="411"/>
      <c r="P203" s="411"/>
    </row>
    <row r="204" spans="3:16" x14ac:dyDescent="0.25">
      <c r="C204" s="410"/>
      <c r="D204" s="410"/>
      <c r="E204" s="411"/>
      <c r="F204" s="411"/>
      <c r="G204" s="411"/>
      <c r="H204" s="410"/>
      <c r="I204" s="411"/>
      <c r="J204" s="411"/>
      <c r="K204" s="411"/>
      <c r="L204" s="411"/>
      <c r="M204" s="411"/>
      <c r="N204" s="411"/>
      <c r="O204" s="411"/>
      <c r="P204" s="411"/>
    </row>
    <row r="205" spans="3:16" x14ac:dyDescent="0.25">
      <c r="C205" s="410"/>
      <c r="D205" s="410"/>
      <c r="E205" s="411"/>
      <c r="F205" s="411"/>
      <c r="G205" s="411"/>
      <c r="H205" s="410"/>
      <c r="I205" s="411"/>
      <c r="J205" s="411"/>
      <c r="K205" s="411"/>
      <c r="L205" s="411"/>
      <c r="M205" s="411"/>
      <c r="N205" s="411"/>
      <c r="O205" s="411"/>
      <c r="P205" s="411"/>
    </row>
    <row r="206" spans="3:16" x14ac:dyDescent="0.25">
      <c r="C206" s="410"/>
      <c r="D206" s="410"/>
      <c r="E206" s="411"/>
      <c r="F206" s="411"/>
      <c r="G206" s="411"/>
      <c r="H206" s="410"/>
      <c r="I206" s="411"/>
      <c r="J206" s="411"/>
      <c r="K206" s="411"/>
      <c r="L206" s="411"/>
      <c r="M206" s="411"/>
      <c r="N206" s="411"/>
      <c r="O206" s="411"/>
      <c r="P206" s="411"/>
    </row>
    <row r="207" spans="3:16" x14ac:dyDescent="0.25">
      <c r="C207" s="410"/>
      <c r="D207" s="410"/>
      <c r="E207" s="411"/>
      <c r="F207" s="411"/>
      <c r="G207" s="411"/>
      <c r="H207" s="410"/>
      <c r="I207" s="411"/>
      <c r="J207" s="411"/>
      <c r="K207" s="411"/>
      <c r="L207" s="411"/>
      <c r="M207" s="411"/>
      <c r="N207" s="411"/>
      <c r="O207" s="411"/>
      <c r="P207" s="411"/>
    </row>
    <row r="208" spans="3:16" x14ac:dyDescent="0.25">
      <c r="C208" s="410"/>
      <c r="D208" s="410"/>
      <c r="E208" s="411"/>
      <c r="F208" s="411"/>
      <c r="G208" s="411"/>
      <c r="H208" s="410"/>
      <c r="I208" s="411"/>
      <c r="J208" s="411"/>
      <c r="K208" s="411"/>
      <c r="L208" s="411"/>
      <c r="M208" s="411"/>
      <c r="N208" s="411"/>
      <c r="O208" s="411"/>
      <c r="P208" s="411"/>
    </row>
    <row r="209" spans="3:16" x14ac:dyDescent="0.25">
      <c r="C209" s="410"/>
      <c r="D209" s="410"/>
      <c r="E209" s="411"/>
      <c r="F209" s="411"/>
      <c r="G209" s="411"/>
      <c r="H209" s="410"/>
      <c r="I209" s="411"/>
      <c r="J209" s="411"/>
      <c r="K209" s="411"/>
      <c r="L209" s="411"/>
      <c r="M209" s="411"/>
      <c r="N209" s="411"/>
      <c r="O209" s="411"/>
      <c r="P209" s="411"/>
    </row>
    <row r="210" spans="3:16" x14ac:dyDescent="0.25">
      <c r="C210" s="410"/>
      <c r="D210" s="410"/>
      <c r="E210" s="411"/>
      <c r="F210" s="411"/>
      <c r="G210" s="411"/>
      <c r="H210" s="410"/>
      <c r="I210" s="411"/>
      <c r="J210" s="411"/>
      <c r="K210" s="411"/>
      <c r="L210" s="411"/>
      <c r="M210" s="411"/>
      <c r="N210" s="411"/>
      <c r="O210" s="411"/>
      <c r="P210" s="411"/>
    </row>
    <row r="211" spans="3:16" x14ac:dyDescent="0.25">
      <c r="C211" s="410"/>
      <c r="D211" s="410"/>
      <c r="E211" s="411"/>
      <c r="F211" s="411"/>
      <c r="G211" s="411"/>
      <c r="H211" s="410"/>
      <c r="I211" s="411"/>
      <c r="J211" s="411"/>
      <c r="K211" s="411"/>
      <c r="L211" s="411"/>
      <c r="M211" s="411"/>
      <c r="N211" s="411"/>
      <c r="O211" s="411"/>
      <c r="P211" s="411"/>
    </row>
    <row r="212" spans="3:16" x14ac:dyDescent="0.25">
      <c r="C212" s="410"/>
      <c r="D212" s="410"/>
      <c r="E212" s="411"/>
      <c r="F212" s="411"/>
      <c r="G212" s="411"/>
      <c r="H212" s="410"/>
      <c r="I212" s="411"/>
      <c r="J212" s="411"/>
      <c r="K212" s="411"/>
      <c r="L212" s="411"/>
      <c r="M212" s="411"/>
      <c r="N212" s="411"/>
      <c r="O212" s="411"/>
      <c r="P212" s="411"/>
    </row>
    <row r="213" spans="3:16" x14ac:dyDescent="0.25">
      <c r="C213" s="410"/>
      <c r="D213" s="410"/>
      <c r="E213" s="411"/>
      <c r="F213" s="411"/>
      <c r="G213" s="411"/>
      <c r="H213" s="410"/>
      <c r="I213" s="411"/>
      <c r="J213" s="411"/>
      <c r="K213" s="411"/>
      <c r="L213" s="411"/>
      <c r="M213" s="411"/>
      <c r="N213" s="411"/>
      <c r="O213" s="411"/>
      <c r="P213" s="411"/>
    </row>
    <row r="214" spans="3:16" x14ac:dyDescent="0.25">
      <c r="C214" s="410"/>
      <c r="D214" s="410"/>
      <c r="E214" s="411"/>
      <c r="F214" s="411"/>
      <c r="G214" s="411"/>
      <c r="H214" s="410"/>
      <c r="I214" s="411"/>
      <c r="J214" s="411"/>
      <c r="K214" s="411"/>
      <c r="L214" s="411"/>
      <c r="M214" s="411"/>
      <c r="N214" s="411"/>
      <c r="O214" s="411"/>
      <c r="P214" s="411"/>
    </row>
    <row r="215" spans="3:16" x14ac:dyDescent="0.25">
      <c r="C215" s="410"/>
      <c r="D215" s="410"/>
      <c r="E215" s="411"/>
      <c r="F215" s="411"/>
      <c r="G215" s="411"/>
      <c r="H215" s="410"/>
      <c r="I215" s="411"/>
      <c r="J215" s="411"/>
      <c r="K215" s="411"/>
      <c r="L215" s="411"/>
      <c r="M215" s="411"/>
      <c r="N215" s="411"/>
      <c r="O215" s="411"/>
      <c r="P215" s="411"/>
    </row>
    <row r="216" spans="3:16" x14ac:dyDescent="0.25">
      <c r="C216" s="410"/>
      <c r="D216" s="410"/>
      <c r="E216" s="411"/>
      <c r="F216" s="411"/>
      <c r="G216" s="411"/>
      <c r="H216" s="410"/>
      <c r="I216" s="411"/>
      <c r="J216" s="411"/>
      <c r="K216" s="411"/>
      <c r="L216" s="411"/>
      <c r="M216" s="411"/>
      <c r="N216" s="411"/>
      <c r="O216" s="411"/>
      <c r="P216" s="411"/>
    </row>
    <row r="217" spans="3:16" x14ac:dyDescent="0.25">
      <c r="C217" s="410"/>
      <c r="D217" s="410"/>
      <c r="E217" s="411"/>
      <c r="F217" s="411"/>
      <c r="G217" s="411"/>
      <c r="H217" s="410"/>
      <c r="I217" s="411"/>
      <c r="J217" s="411"/>
      <c r="K217" s="411"/>
      <c r="L217" s="411"/>
      <c r="M217" s="411"/>
      <c r="N217" s="411"/>
      <c r="O217" s="411"/>
      <c r="P217" s="411"/>
    </row>
    <row r="218" spans="3:16" x14ac:dyDescent="0.25">
      <c r="C218" s="410"/>
      <c r="D218" s="410"/>
      <c r="E218" s="411"/>
      <c r="F218" s="411"/>
      <c r="G218" s="411"/>
      <c r="H218" s="410"/>
      <c r="I218" s="411"/>
      <c r="J218" s="411"/>
      <c r="K218" s="411"/>
      <c r="L218" s="411"/>
      <c r="M218" s="411"/>
      <c r="N218" s="411"/>
      <c r="O218" s="411"/>
      <c r="P218" s="411"/>
    </row>
    <row r="219" spans="3:16" x14ac:dyDescent="0.25">
      <c r="C219" s="410"/>
      <c r="D219" s="410"/>
      <c r="E219" s="411"/>
      <c r="F219" s="411"/>
      <c r="G219" s="411"/>
      <c r="H219" s="410"/>
      <c r="I219" s="411"/>
      <c r="J219" s="411"/>
      <c r="K219" s="411"/>
      <c r="L219" s="411"/>
      <c r="M219" s="411"/>
      <c r="N219" s="411"/>
      <c r="O219" s="411"/>
      <c r="P219" s="411"/>
    </row>
    <row r="220" spans="3:16" x14ac:dyDescent="0.25">
      <c r="C220" s="410"/>
      <c r="D220" s="410"/>
      <c r="E220" s="411"/>
      <c r="F220" s="411"/>
      <c r="G220" s="411"/>
      <c r="H220" s="410"/>
      <c r="I220" s="411"/>
      <c r="J220" s="411"/>
      <c r="K220" s="411"/>
      <c r="L220" s="411"/>
      <c r="M220" s="411"/>
      <c r="N220" s="411"/>
      <c r="O220" s="411"/>
      <c r="P220" s="411"/>
    </row>
    <row r="221" spans="3:16" x14ac:dyDescent="0.25">
      <c r="C221" s="410"/>
      <c r="D221" s="410"/>
      <c r="E221" s="411"/>
      <c r="F221" s="411"/>
      <c r="G221" s="411"/>
      <c r="H221" s="410"/>
      <c r="I221" s="411"/>
      <c r="J221" s="411"/>
      <c r="K221" s="411"/>
      <c r="L221" s="411"/>
      <c r="M221" s="411"/>
      <c r="N221" s="411"/>
      <c r="O221" s="411"/>
      <c r="P221" s="411"/>
    </row>
    <row r="222" spans="3:16" x14ac:dyDescent="0.25">
      <c r="C222" s="410"/>
      <c r="D222" s="410"/>
      <c r="E222" s="411"/>
      <c r="F222" s="411"/>
      <c r="G222" s="411"/>
      <c r="H222" s="410"/>
      <c r="I222" s="411"/>
      <c r="J222" s="411"/>
      <c r="K222" s="411"/>
      <c r="L222" s="411"/>
      <c r="M222" s="411"/>
      <c r="N222" s="411"/>
      <c r="O222" s="411"/>
      <c r="P222" s="411"/>
    </row>
    <row r="223" spans="3:16" x14ac:dyDescent="0.25">
      <c r="C223" s="410"/>
      <c r="D223" s="410"/>
      <c r="E223" s="411"/>
      <c r="F223" s="411"/>
      <c r="G223" s="411"/>
      <c r="H223" s="410"/>
      <c r="I223" s="411"/>
      <c r="J223" s="411"/>
      <c r="K223" s="411"/>
      <c r="L223" s="411"/>
      <c r="M223" s="411"/>
      <c r="N223" s="411"/>
      <c r="O223" s="411"/>
      <c r="P223" s="411"/>
    </row>
    <row r="224" spans="3:16" x14ac:dyDescent="0.25">
      <c r="C224" s="410"/>
      <c r="D224" s="410"/>
      <c r="E224" s="411"/>
      <c r="F224" s="411"/>
      <c r="G224" s="411"/>
      <c r="H224" s="410"/>
      <c r="I224" s="411"/>
      <c r="J224" s="411"/>
      <c r="K224" s="411"/>
      <c r="L224" s="411"/>
      <c r="M224" s="411"/>
      <c r="N224" s="411"/>
      <c r="O224" s="411"/>
      <c r="P224" s="411"/>
    </row>
    <row r="225" spans="3:16" x14ac:dyDescent="0.25">
      <c r="C225" s="410"/>
      <c r="D225" s="410"/>
      <c r="E225" s="411"/>
      <c r="F225" s="411"/>
      <c r="G225" s="411"/>
      <c r="H225" s="410"/>
      <c r="I225" s="411"/>
      <c r="J225" s="411"/>
      <c r="K225" s="411"/>
      <c r="L225" s="411"/>
      <c r="M225" s="411"/>
      <c r="N225" s="411"/>
      <c r="O225" s="411"/>
      <c r="P225" s="411"/>
    </row>
    <row r="226" spans="3:16" x14ac:dyDescent="0.25">
      <c r="C226" s="410"/>
      <c r="D226" s="410"/>
      <c r="E226" s="411"/>
      <c r="F226" s="411"/>
      <c r="G226" s="411"/>
      <c r="H226" s="410"/>
      <c r="I226" s="411"/>
      <c r="J226" s="411"/>
      <c r="K226" s="411"/>
      <c r="L226" s="411"/>
      <c r="M226" s="411"/>
      <c r="N226" s="411"/>
      <c r="O226" s="411"/>
      <c r="P226" s="411"/>
    </row>
    <row r="227" spans="3:16" x14ac:dyDescent="0.25">
      <c r="C227" s="410"/>
      <c r="D227" s="410"/>
      <c r="E227" s="411"/>
      <c r="F227" s="411"/>
      <c r="G227" s="411"/>
      <c r="H227" s="410"/>
      <c r="I227" s="411"/>
      <c r="J227" s="411"/>
      <c r="K227" s="411"/>
      <c r="L227" s="411"/>
      <c r="M227" s="411"/>
      <c r="N227" s="411"/>
      <c r="O227" s="411"/>
      <c r="P227" s="411"/>
    </row>
    <row r="228" spans="3:16" x14ac:dyDescent="0.25">
      <c r="C228" s="410"/>
      <c r="D228" s="410"/>
      <c r="E228" s="411"/>
      <c r="F228" s="411"/>
      <c r="G228" s="411"/>
      <c r="H228" s="410"/>
      <c r="I228" s="411"/>
      <c r="J228" s="411"/>
      <c r="K228" s="411"/>
      <c r="L228" s="411"/>
      <c r="M228" s="411"/>
      <c r="N228" s="411"/>
      <c r="O228" s="411"/>
      <c r="P228" s="411"/>
    </row>
    <row r="229" spans="3:16" x14ac:dyDescent="0.25">
      <c r="C229" s="410"/>
      <c r="D229" s="410"/>
      <c r="E229" s="411"/>
      <c r="F229" s="411"/>
      <c r="G229" s="411"/>
      <c r="H229" s="410"/>
      <c r="I229" s="411"/>
      <c r="J229" s="411"/>
      <c r="K229" s="411"/>
      <c r="L229" s="411"/>
      <c r="M229" s="411"/>
      <c r="N229" s="411"/>
      <c r="O229" s="411"/>
      <c r="P229" s="411"/>
    </row>
    <row r="230" spans="3:16" x14ac:dyDescent="0.25">
      <c r="C230" s="410"/>
      <c r="D230" s="410"/>
      <c r="E230" s="411"/>
      <c r="F230" s="411"/>
      <c r="G230" s="411"/>
      <c r="H230" s="410"/>
      <c r="I230" s="411"/>
      <c r="J230" s="411"/>
      <c r="K230" s="411"/>
      <c r="L230" s="411"/>
      <c r="M230" s="411"/>
      <c r="N230" s="411"/>
      <c r="O230" s="411"/>
      <c r="P230" s="411"/>
    </row>
    <row r="231" spans="3:16" x14ac:dyDescent="0.25">
      <c r="C231" s="410"/>
      <c r="D231" s="410"/>
      <c r="E231" s="411"/>
      <c r="F231" s="411"/>
      <c r="G231" s="411"/>
      <c r="H231" s="410"/>
      <c r="I231" s="411"/>
      <c r="J231" s="411"/>
      <c r="K231" s="411"/>
      <c r="L231" s="411"/>
      <c r="M231" s="411"/>
      <c r="N231" s="411"/>
      <c r="O231" s="411"/>
      <c r="P231" s="411"/>
    </row>
    <row r="232" spans="3:16" x14ac:dyDescent="0.25">
      <c r="C232" s="410"/>
      <c r="D232" s="410"/>
      <c r="E232" s="411"/>
      <c r="F232" s="411"/>
      <c r="G232" s="411"/>
      <c r="H232" s="410"/>
      <c r="I232" s="411"/>
      <c r="J232" s="411"/>
      <c r="K232" s="411"/>
      <c r="L232" s="411"/>
      <c r="M232" s="411"/>
      <c r="N232" s="411"/>
      <c r="O232" s="411"/>
      <c r="P232" s="411"/>
    </row>
    <row r="233" spans="3:16" x14ac:dyDescent="0.25">
      <c r="C233" s="410"/>
      <c r="D233" s="410"/>
      <c r="E233" s="411"/>
      <c r="F233" s="411"/>
      <c r="G233" s="411"/>
      <c r="H233" s="410"/>
      <c r="I233" s="411"/>
      <c r="J233" s="411"/>
      <c r="K233" s="411"/>
      <c r="L233" s="411"/>
      <c r="M233" s="411"/>
      <c r="N233" s="411"/>
      <c r="O233" s="411"/>
      <c r="P233" s="411"/>
    </row>
    <row r="234" spans="3:16" x14ac:dyDescent="0.25">
      <c r="C234" s="410"/>
      <c r="D234" s="410"/>
      <c r="E234" s="411"/>
      <c r="F234" s="411"/>
      <c r="G234" s="411"/>
      <c r="H234" s="410"/>
      <c r="I234" s="411"/>
      <c r="J234" s="411"/>
      <c r="K234" s="411"/>
      <c r="L234" s="411"/>
      <c r="M234" s="411"/>
      <c r="N234" s="411"/>
      <c r="O234" s="411"/>
      <c r="P234" s="411"/>
    </row>
    <row r="235" spans="3:16" x14ac:dyDescent="0.25">
      <c r="C235" s="410"/>
      <c r="D235" s="410"/>
      <c r="E235" s="411"/>
      <c r="F235" s="411"/>
      <c r="G235" s="411"/>
      <c r="H235" s="410"/>
      <c r="I235" s="411"/>
      <c r="J235" s="411"/>
      <c r="K235" s="411"/>
      <c r="L235" s="411"/>
      <c r="M235" s="411"/>
      <c r="N235" s="411"/>
      <c r="O235" s="411"/>
      <c r="P235" s="411"/>
    </row>
    <row r="236" spans="3:16" x14ac:dyDescent="0.25">
      <c r="C236" s="410"/>
      <c r="D236" s="410"/>
      <c r="E236" s="411"/>
      <c r="F236" s="411"/>
      <c r="G236" s="411"/>
      <c r="H236" s="410"/>
      <c r="I236" s="411"/>
      <c r="J236" s="411"/>
      <c r="K236" s="411"/>
      <c r="L236" s="411"/>
      <c r="M236" s="411"/>
      <c r="N236" s="411"/>
      <c r="O236" s="411"/>
      <c r="P236" s="411"/>
    </row>
    <row r="237" spans="3:16" x14ac:dyDescent="0.25">
      <c r="C237" s="410"/>
      <c r="D237" s="410"/>
      <c r="E237" s="411"/>
      <c r="F237" s="411"/>
      <c r="G237" s="411"/>
      <c r="H237" s="410"/>
      <c r="I237" s="411"/>
      <c r="J237" s="411"/>
      <c r="K237" s="411"/>
      <c r="L237" s="411"/>
      <c r="M237" s="411"/>
      <c r="N237" s="411"/>
      <c r="O237" s="411"/>
      <c r="P237" s="411"/>
    </row>
    <row r="238" spans="3:16" x14ac:dyDescent="0.25">
      <c r="C238" s="410"/>
      <c r="D238" s="410"/>
      <c r="E238" s="411"/>
      <c r="F238" s="411"/>
      <c r="G238" s="411"/>
      <c r="H238" s="410"/>
      <c r="I238" s="411"/>
      <c r="J238" s="411"/>
      <c r="K238" s="411"/>
      <c r="L238" s="411"/>
      <c r="M238" s="411"/>
      <c r="N238" s="411"/>
      <c r="O238" s="411"/>
      <c r="P238" s="411"/>
    </row>
    <row r="239" spans="3:16" x14ac:dyDescent="0.25">
      <c r="C239" s="410"/>
      <c r="D239" s="410"/>
      <c r="E239" s="411"/>
      <c r="F239" s="411"/>
      <c r="G239" s="411"/>
      <c r="H239" s="410"/>
      <c r="I239" s="411"/>
      <c r="J239" s="411"/>
      <c r="K239" s="411"/>
      <c r="L239" s="411"/>
      <c r="M239" s="411"/>
      <c r="N239" s="411"/>
      <c r="O239" s="411"/>
      <c r="P239" s="411"/>
    </row>
    <row r="240" spans="3:16" x14ac:dyDescent="0.25">
      <c r="C240" s="410"/>
      <c r="D240" s="410"/>
      <c r="E240" s="411"/>
      <c r="F240" s="411"/>
      <c r="G240" s="411"/>
      <c r="H240" s="410"/>
      <c r="I240" s="411"/>
      <c r="J240" s="411"/>
      <c r="K240" s="411"/>
      <c r="L240" s="411"/>
      <c r="M240" s="411"/>
      <c r="N240" s="411"/>
      <c r="O240" s="411"/>
      <c r="P240" s="411"/>
    </row>
    <row r="241" spans="3:16" x14ac:dyDescent="0.25">
      <c r="C241" s="410"/>
      <c r="D241" s="410"/>
      <c r="E241" s="411"/>
      <c r="F241" s="411"/>
      <c r="G241" s="411"/>
      <c r="H241" s="410"/>
      <c r="I241" s="411"/>
      <c r="J241" s="411"/>
      <c r="K241" s="411"/>
      <c r="L241" s="411"/>
      <c r="M241" s="411"/>
      <c r="N241" s="411"/>
      <c r="O241" s="411"/>
      <c r="P241" s="411"/>
    </row>
    <row r="242" spans="3:16" x14ac:dyDescent="0.25">
      <c r="C242" s="410"/>
      <c r="D242" s="410"/>
      <c r="E242" s="411"/>
      <c r="F242" s="411"/>
      <c r="G242" s="411"/>
      <c r="H242" s="410"/>
      <c r="I242" s="411"/>
      <c r="J242" s="411"/>
      <c r="K242" s="411"/>
      <c r="L242" s="411"/>
      <c r="M242" s="411"/>
      <c r="N242" s="411"/>
      <c r="O242" s="411"/>
      <c r="P242" s="411"/>
    </row>
    <row r="243" spans="3:16" x14ac:dyDescent="0.25">
      <c r="C243" s="410"/>
      <c r="D243" s="410"/>
      <c r="E243" s="411"/>
      <c r="F243" s="411"/>
      <c r="G243" s="411"/>
      <c r="H243" s="410"/>
      <c r="I243" s="411"/>
      <c r="J243" s="411"/>
      <c r="K243" s="411"/>
      <c r="L243" s="411"/>
      <c r="M243" s="411"/>
      <c r="N243" s="411"/>
      <c r="O243" s="411"/>
      <c r="P243" s="411"/>
    </row>
    <row r="244" spans="3:16" x14ac:dyDescent="0.25">
      <c r="C244" s="410"/>
      <c r="D244" s="410"/>
      <c r="E244" s="411"/>
      <c r="F244" s="411"/>
      <c r="G244" s="411"/>
      <c r="H244" s="410"/>
      <c r="I244" s="411"/>
      <c r="J244" s="411"/>
      <c r="K244" s="411"/>
      <c r="L244" s="411"/>
      <c r="M244" s="411"/>
      <c r="N244" s="411"/>
      <c r="O244" s="411"/>
      <c r="P244" s="411"/>
    </row>
    <row r="245" spans="3:16" x14ac:dyDescent="0.25">
      <c r="C245" s="410"/>
      <c r="D245" s="410"/>
      <c r="E245" s="411"/>
      <c r="F245" s="411"/>
      <c r="G245" s="411"/>
      <c r="H245" s="410"/>
      <c r="I245" s="411"/>
      <c r="J245" s="411"/>
      <c r="K245" s="411"/>
      <c r="L245" s="411"/>
      <c r="M245" s="411"/>
      <c r="N245" s="411"/>
      <c r="O245" s="411"/>
      <c r="P245" s="411"/>
    </row>
    <row r="246" spans="3:16" x14ac:dyDescent="0.25">
      <c r="C246" s="410"/>
      <c r="D246" s="410"/>
      <c r="E246" s="411"/>
      <c r="F246" s="411"/>
      <c r="G246" s="411"/>
      <c r="H246" s="410"/>
      <c r="I246" s="411"/>
      <c r="J246" s="411"/>
      <c r="K246" s="411"/>
      <c r="L246" s="411"/>
      <c r="M246" s="411"/>
      <c r="N246" s="411"/>
      <c r="O246" s="411"/>
      <c r="P246" s="411"/>
    </row>
    <row r="247" spans="3:16" x14ac:dyDescent="0.25">
      <c r="C247" s="410"/>
      <c r="D247" s="410"/>
      <c r="E247" s="411"/>
      <c r="F247" s="411"/>
      <c r="G247" s="411"/>
      <c r="H247" s="410"/>
      <c r="I247" s="411"/>
      <c r="J247" s="411"/>
      <c r="K247" s="411"/>
      <c r="L247" s="411"/>
      <c r="M247" s="411"/>
      <c r="N247" s="411"/>
      <c r="O247" s="411"/>
      <c r="P247" s="411"/>
    </row>
    <row r="248" spans="3:16" x14ac:dyDescent="0.25">
      <c r="C248" s="410"/>
      <c r="D248" s="410"/>
      <c r="E248" s="411"/>
      <c r="F248" s="411"/>
      <c r="G248" s="411"/>
      <c r="H248" s="410"/>
      <c r="I248" s="411"/>
      <c r="J248" s="411"/>
      <c r="K248" s="411"/>
      <c r="L248" s="411"/>
      <c r="M248" s="411"/>
      <c r="N248" s="411"/>
      <c r="O248" s="411"/>
      <c r="P248" s="411"/>
    </row>
  </sheetData>
  <sheetProtection algorithmName="SHA-512" hashValue="JFgg/Pm17u040FJ835xnN1Vyj+5d9rog+lzB0FetdPrtMZ0RCMTzGftMhy8O/WtGDcD3nvr6ac5wA+2e2SczBA==" saltValue="dBM5FPI0ejqFzRn6rg7yTw==" spinCount="100000" sheet="1" objects="1" scenarios="1"/>
  <mergeCells count="36">
    <mergeCell ref="L5:O5"/>
    <mergeCell ref="P15:T25"/>
    <mergeCell ref="D5:G5"/>
    <mergeCell ref="R10:X11"/>
    <mergeCell ref="B51:C51"/>
    <mergeCell ref="B17:C17"/>
    <mergeCell ref="B53:C53"/>
    <mergeCell ref="B55:C55"/>
    <mergeCell ref="D7:G7"/>
    <mergeCell ref="B5:C5"/>
    <mergeCell ref="B39:B41"/>
    <mergeCell ref="B43:B45"/>
    <mergeCell ref="B47:B49"/>
    <mergeCell ref="B19:B21"/>
    <mergeCell ref="B23:B25"/>
    <mergeCell ref="B27:B29"/>
    <mergeCell ref="B31:B33"/>
    <mergeCell ref="B35:B37"/>
    <mergeCell ref="B15:C15"/>
    <mergeCell ref="B16:C16"/>
    <mergeCell ref="B79:C79"/>
    <mergeCell ref="B57:C57"/>
    <mergeCell ref="B59:C59"/>
    <mergeCell ref="B63:F63"/>
    <mergeCell ref="B65:F65"/>
    <mergeCell ref="B68:F68"/>
    <mergeCell ref="B70:G70"/>
    <mergeCell ref="D77:E77"/>
    <mergeCell ref="B73:F73"/>
    <mergeCell ref="B77:C77"/>
    <mergeCell ref="B71:F71"/>
    <mergeCell ref="G68:O68"/>
    <mergeCell ref="G63:H63"/>
    <mergeCell ref="G67:H67"/>
    <mergeCell ref="G65:H65"/>
    <mergeCell ref="B67:F67"/>
  </mergeCells>
  <conditionalFormatting sqref="D51">
    <cfRule type="expression" dxfId="281" priority="17" stopIfTrue="1">
      <formula>D17=1</formula>
    </cfRule>
    <cfRule type="expression" dxfId="280" priority="443" stopIfTrue="1">
      <formula>D15=$G$126</formula>
    </cfRule>
    <cfRule type="expression" dxfId="279" priority="644" stopIfTrue="1">
      <formula>D16=$G$136</formula>
    </cfRule>
  </conditionalFormatting>
  <conditionalFormatting sqref="D53">
    <cfRule type="expression" dxfId="278" priority="442" stopIfTrue="1">
      <formula>D15=$G$126</formula>
    </cfRule>
    <cfRule type="expression" dxfId="277" priority="642" stopIfTrue="1">
      <formula>D16=$G$136</formula>
    </cfRule>
  </conditionalFormatting>
  <conditionalFormatting sqref="D55">
    <cfRule type="expression" dxfId="276" priority="441" stopIfTrue="1">
      <formula>D15=$G$126</formula>
    </cfRule>
    <cfRule type="expression" dxfId="275" priority="641" stopIfTrue="1">
      <formula>D16=$G$136</formula>
    </cfRule>
  </conditionalFormatting>
  <conditionalFormatting sqref="D16">
    <cfRule type="expression" dxfId="274" priority="639" stopIfTrue="1">
      <formula>D15=$G$126</formula>
    </cfRule>
  </conditionalFormatting>
  <conditionalFormatting sqref="E16">
    <cfRule type="expression" dxfId="273" priority="637" stopIfTrue="1">
      <formula>E15=$G$126</formula>
    </cfRule>
  </conditionalFormatting>
  <conditionalFormatting sqref="F16">
    <cfRule type="expression" dxfId="272" priority="634" stopIfTrue="1">
      <formula>F15=$G$126</formula>
    </cfRule>
  </conditionalFormatting>
  <conditionalFormatting sqref="G16">
    <cfRule type="expression" dxfId="271" priority="631" stopIfTrue="1">
      <formula>G15=$G$126</formula>
    </cfRule>
  </conditionalFormatting>
  <conditionalFormatting sqref="H16">
    <cfRule type="expression" dxfId="270" priority="628" stopIfTrue="1">
      <formula>H15=$G$126</formula>
    </cfRule>
  </conditionalFormatting>
  <conditionalFormatting sqref="I16">
    <cfRule type="expression" dxfId="269" priority="625" stopIfTrue="1">
      <formula>I15=$G$126</formula>
    </cfRule>
  </conditionalFormatting>
  <conditionalFormatting sqref="J16">
    <cfRule type="expression" dxfId="268" priority="622" stopIfTrue="1">
      <formula>J15=$G$126</formula>
    </cfRule>
  </conditionalFormatting>
  <conditionalFormatting sqref="K16">
    <cfRule type="expression" dxfId="267" priority="619" stopIfTrue="1">
      <formula>K15=$G$126</formula>
    </cfRule>
  </conditionalFormatting>
  <conditionalFormatting sqref="L16">
    <cfRule type="expression" dxfId="266" priority="616" stopIfTrue="1">
      <formula>L15=$G$126</formula>
    </cfRule>
  </conditionalFormatting>
  <conditionalFormatting sqref="M16">
    <cfRule type="expression" dxfId="265" priority="613" stopIfTrue="1">
      <formula>M15=$G$126</formula>
    </cfRule>
  </conditionalFormatting>
  <conditionalFormatting sqref="N16">
    <cfRule type="expression" dxfId="264" priority="610" stopIfTrue="1">
      <formula>N15=$G$126</formula>
    </cfRule>
  </conditionalFormatting>
  <conditionalFormatting sqref="O16">
    <cfRule type="expression" dxfId="263" priority="607" stopIfTrue="1">
      <formula>O15=$G$126</formula>
    </cfRule>
  </conditionalFormatting>
  <conditionalFormatting sqref="D17">
    <cfRule type="expression" dxfId="262" priority="556" stopIfTrue="1">
      <formula>D16=$G$136</formula>
    </cfRule>
    <cfRule type="expression" dxfId="261" priority="2505" stopIfTrue="1">
      <formula>D15=$G$126</formula>
    </cfRule>
  </conditionalFormatting>
  <conditionalFormatting sqref="E17">
    <cfRule type="expression" dxfId="260" priority="554" stopIfTrue="1">
      <formula>E16=$G$136</formula>
    </cfRule>
    <cfRule type="expression" dxfId="259" priority="555" stopIfTrue="1">
      <formula>E15=$G$126</formula>
    </cfRule>
  </conditionalFormatting>
  <conditionalFormatting sqref="F17">
    <cfRule type="expression" dxfId="258" priority="551" stopIfTrue="1">
      <formula>F16=$G$136</formula>
    </cfRule>
    <cfRule type="expression" dxfId="257" priority="552" stopIfTrue="1">
      <formula>F15=$G$126</formula>
    </cfRule>
  </conditionalFormatting>
  <conditionalFormatting sqref="G17">
    <cfRule type="expression" dxfId="256" priority="547" stopIfTrue="1">
      <formula>G16=$G$136</formula>
    </cfRule>
    <cfRule type="expression" dxfId="255" priority="548" stopIfTrue="1">
      <formula>G15=$G$126</formula>
    </cfRule>
  </conditionalFormatting>
  <conditionalFormatting sqref="H17">
    <cfRule type="expression" dxfId="254" priority="542" stopIfTrue="1">
      <formula>H16=$G$136</formula>
    </cfRule>
    <cfRule type="expression" dxfId="253" priority="543" stopIfTrue="1">
      <formula>H15=$G$126</formula>
    </cfRule>
  </conditionalFormatting>
  <conditionalFormatting sqref="I17">
    <cfRule type="expression" dxfId="252" priority="536" stopIfTrue="1">
      <formula>I16=$G$136</formula>
    </cfRule>
    <cfRule type="expression" dxfId="251" priority="537" stopIfTrue="1">
      <formula>I15=$G$126</formula>
    </cfRule>
  </conditionalFormatting>
  <conditionalFormatting sqref="J17">
    <cfRule type="expression" dxfId="250" priority="529" stopIfTrue="1">
      <formula>J16=$G$136</formula>
    </cfRule>
    <cfRule type="expression" dxfId="249" priority="530" stopIfTrue="1">
      <formula>J15=$G$126</formula>
    </cfRule>
  </conditionalFormatting>
  <conditionalFormatting sqref="K17">
    <cfRule type="expression" dxfId="248" priority="521" stopIfTrue="1">
      <formula>K16=$G$136</formula>
    </cfRule>
    <cfRule type="expression" dxfId="247" priority="522" stopIfTrue="1">
      <formula>K15=$G$126</formula>
    </cfRule>
  </conditionalFormatting>
  <conditionalFormatting sqref="L17">
    <cfRule type="expression" dxfId="246" priority="511" stopIfTrue="1">
      <formula>L16=$G$136</formula>
    </cfRule>
    <cfRule type="expression" dxfId="245" priority="512" stopIfTrue="1">
      <formula>L15=$G$126</formula>
    </cfRule>
  </conditionalFormatting>
  <conditionalFormatting sqref="M17">
    <cfRule type="expression" dxfId="244" priority="500" stopIfTrue="1">
      <formula>M16=$G$136</formula>
    </cfRule>
    <cfRule type="expression" dxfId="243" priority="501" stopIfTrue="1">
      <formula>M15=$G$126</formula>
    </cfRule>
  </conditionalFormatting>
  <conditionalFormatting sqref="N17">
    <cfRule type="expression" dxfId="242" priority="488" stopIfTrue="1">
      <formula>N16=$G$136</formula>
    </cfRule>
    <cfRule type="expression" dxfId="241" priority="489" stopIfTrue="1">
      <formula>N15=$G$126</formula>
    </cfRule>
  </conditionalFormatting>
  <conditionalFormatting sqref="O17">
    <cfRule type="expression" dxfId="240" priority="475" stopIfTrue="1">
      <formula>O16=$G$136</formula>
    </cfRule>
    <cfRule type="expression" dxfId="239" priority="476" stopIfTrue="1">
      <formula>O15=$G$126</formula>
    </cfRule>
  </conditionalFormatting>
  <conditionalFormatting sqref="D57">
    <cfRule type="expression" dxfId="238" priority="440" stopIfTrue="1">
      <formula>D15=$G$126</formula>
    </cfRule>
    <cfRule type="expression" dxfId="237" priority="474" stopIfTrue="1">
      <formula>D16=$G$136</formula>
    </cfRule>
  </conditionalFormatting>
  <conditionalFormatting sqref="E51">
    <cfRule type="expression" dxfId="236" priority="16" stopIfTrue="1">
      <formula>E17=1</formula>
    </cfRule>
    <cfRule type="expression" dxfId="235" priority="438" stopIfTrue="1">
      <formula>E15=$G$126</formula>
    </cfRule>
    <cfRule type="expression" dxfId="234" priority="439" stopIfTrue="1">
      <formula>E16=$G$136</formula>
    </cfRule>
  </conditionalFormatting>
  <conditionalFormatting sqref="G51">
    <cfRule type="expression" dxfId="233" priority="14" stopIfTrue="1">
      <formula>G17=1</formula>
    </cfRule>
    <cfRule type="expression" dxfId="232" priority="436" stopIfTrue="1">
      <formula>G15=$G$126</formula>
    </cfRule>
    <cfRule type="expression" dxfId="231" priority="437" stopIfTrue="1">
      <formula>G16=$G$136</formula>
    </cfRule>
  </conditionalFormatting>
  <conditionalFormatting sqref="F51">
    <cfRule type="expression" dxfId="230" priority="15" stopIfTrue="1">
      <formula>F17=1</formula>
    </cfRule>
    <cfRule type="expression" dxfId="229" priority="434" stopIfTrue="1">
      <formula>F15=$G$126</formula>
    </cfRule>
    <cfRule type="expression" dxfId="228" priority="435" stopIfTrue="1">
      <formula>F16=$G$136</formula>
    </cfRule>
  </conditionalFormatting>
  <conditionalFormatting sqref="H51">
    <cfRule type="expression" dxfId="227" priority="13" stopIfTrue="1">
      <formula>H17=1</formula>
    </cfRule>
    <cfRule type="expression" dxfId="226" priority="432" stopIfTrue="1">
      <formula>H15=$G$126</formula>
    </cfRule>
    <cfRule type="expression" dxfId="225" priority="433" stopIfTrue="1">
      <formula>H16=$G$136</formula>
    </cfRule>
  </conditionalFormatting>
  <conditionalFormatting sqref="I51">
    <cfRule type="expression" dxfId="224" priority="12" stopIfTrue="1">
      <formula>I17=1</formula>
    </cfRule>
    <cfRule type="expression" dxfId="223" priority="430" stopIfTrue="1">
      <formula>I15=$G$126</formula>
    </cfRule>
    <cfRule type="expression" dxfId="222" priority="431" stopIfTrue="1">
      <formula>I16=$G$136</formula>
    </cfRule>
  </conditionalFormatting>
  <conditionalFormatting sqref="J51">
    <cfRule type="expression" dxfId="221" priority="11" stopIfTrue="1">
      <formula>J17=1</formula>
    </cfRule>
    <cfRule type="expression" dxfId="220" priority="428" stopIfTrue="1">
      <formula>J15=$G$126</formula>
    </cfRule>
    <cfRule type="expression" dxfId="219" priority="429" stopIfTrue="1">
      <formula>J16=$G$136</formula>
    </cfRule>
  </conditionalFormatting>
  <conditionalFormatting sqref="K51">
    <cfRule type="expression" dxfId="218" priority="10" stopIfTrue="1">
      <formula>K17=1</formula>
    </cfRule>
    <cfRule type="expression" dxfId="217" priority="426" stopIfTrue="1">
      <formula>K15=$G$126</formula>
    </cfRule>
    <cfRule type="expression" dxfId="216" priority="427" stopIfTrue="1">
      <formula>K16=$G$136</formula>
    </cfRule>
  </conditionalFormatting>
  <conditionalFormatting sqref="L51">
    <cfRule type="expression" dxfId="215" priority="9" stopIfTrue="1">
      <formula>L17=1</formula>
    </cfRule>
    <cfRule type="expression" dxfId="214" priority="424" stopIfTrue="1">
      <formula>L15=$G$126</formula>
    </cfRule>
    <cfRule type="expression" dxfId="213" priority="425" stopIfTrue="1">
      <formula>L16=$G$136</formula>
    </cfRule>
  </conditionalFormatting>
  <conditionalFormatting sqref="M51">
    <cfRule type="expression" dxfId="212" priority="8" stopIfTrue="1">
      <formula>M17=1</formula>
    </cfRule>
    <cfRule type="expression" dxfId="211" priority="422" stopIfTrue="1">
      <formula>M15=$G$126</formula>
    </cfRule>
    <cfRule type="expression" dxfId="210" priority="423" stopIfTrue="1">
      <formula>M16=$G$136</formula>
    </cfRule>
  </conditionalFormatting>
  <conditionalFormatting sqref="N51">
    <cfRule type="expression" dxfId="209" priority="7" stopIfTrue="1">
      <formula>N17=1</formula>
    </cfRule>
    <cfRule type="expression" dxfId="208" priority="420" stopIfTrue="1">
      <formula>N15=$G$126</formula>
    </cfRule>
    <cfRule type="expression" dxfId="207" priority="421" stopIfTrue="1">
      <formula>N16=$G$136</formula>
    </cfRule>
  </conditionalFormatting>
  <conditionalFormatting sqref="O51">
    <cfRule type="expression" dxfId="206" priority="6" stopIfTrue="1">
      <formula>O17=1</formula>
    </cfRule>
    <cfRule type="expression" dxfId="205" priority="418" stopIfTrue="1">
      <formula>O15=$G$126</formula>
    </cfRule>
    <cfRule type="expression" dxfId="204" priority="419" stopIfTrue="1">
      <formula>O16=$G$136</formula>
    </cfRule>
  </conditionalFormatting>
  <conditionalFormatting sqref="H53">
    <cfRule type="expression" dxfId="203" priority="416" stopIfTrue="1">
      <formula>H15=$G$126</formula>
    </cfRule>
    <cfRule type="expression" dxfId="202" priority="417" stopIfTrue="1">
      <formula>H16=$G$136</formula>
    </cfRule>
  </conditionalFormatting>
  <conditionalFormatting sqref="E53">
    <cfRule type="expression" dxfId="201" priority="414" stopIfTrue="1">
      <formula>E15=$G$126</formula>
    </cfRule>
    <cfRule type="expression" dxfId="200" priority="415" stopIfTrue="1">
      <formula>E16=$G$136</formula>
    </cfRule>
  </conditionalFormatting>
  <conditionalFormatting sqref="F53">
    <cfRule type="expression" dxfId="199" priority="412" stopIfTrue="1">
      <formula>F15=$G$126</formula>
    </cfRule>
    <cfRule type="expression" dxfId="198" priority="413" stopIfTrue="1">
      <formula>F16=$G$136</formula>
    </cfRule>
  </conditionalFormatting>
  <conditionalFormatting sqref="G53">
    <cfRule type="expression" dxfId="197" priority="410" stopIfTrue="1">
      <formula>G15=$G$126</formula>
    </cfRule>
    <cfRule type="expression" dxfId="196" priority="411" stopIfTrue="1">
      <formula>G16=$G$136</formula>
    </cfRule>
  </conditionalFormatting>
  <conditionalFormatting sqref="I53">
    <cfRule type="expression" dxfId="195" priority="408" stopIfTrue="1">
      <formula>I15=$G$126</formula>
    </cfRule>
    <cfRule type="expression" dxfId="194" priority="409" stopIfTrue="1">
      <formula>I16=$G$136</formula>
    </cfRule>
  </conditionalFormatting>
  <conditionalFormatting sqref="J53">
    <cfRule type="expression" dxfId="193" priority="406" stopIfTrue="1">
      <formula>J15=$G$126</formula>
    </cfRule>
    <cfRule type="expression" dxfId="192" priority="407" stopIfTrue="1">
      <formula>J16=$G$136</formula>
    </cfRule>
  </conditionalFormatting>
  <conditionalFormatting sqref="K53">
    <cfRule type="expression" dxfId="191" priority="404" stopIfTrue="1">
      <formula>K15=$G$126</formula>
    </cfRule>
    <cfRule type="expression" dxfId="190" priority="405" stopIfTrue="1">
      <formula>K16=$G$136</formula>
    </cfRule>
  </conditionalFormatting>
  <conditionalFormatting sqref="M53">
    <cfRule type="expression" dxfId="189" priority="400" stopIfTrue="1">
      <formula>M15=$G$126</formula>
    </cfRule>
    <cfRule type="expression" dxfId="188" priority="401" stopIfTrue="1">
      <formula>M16=$G$136</formula>
    </cfRule>
  </conditionalFormatting>
  <conditionalFormatting sqref="L53">
    <cfRule type="expression" dxfId="187" priority="398" stopIfTrue="1">
      <formula>L15=$G$126</formula>
    </cfRule>
    <cfRule type="expression" dxfId="186" priority="399" stopIfTrue="1">
      <formula>L16=$G$136</formula>
    </cfRule>
  </conditionalFormatting>
  <conditionalFormatting sqref="N53">
    <cfRule type="expression" dxfId="185" priority="396" stopIfTrue="1">
      <formula>N15=$G$126</formula>
    </cfRule>
    <cfRule type="expression" dxfId="184" priority="397" stopIfTrue="1">
      <formula>N16=$G$136</formula>
    </cfRule>
  </conditionalFormatting>
  <conditionalFormatting sqref="O53">
    <cfRule type="expression" dxfId="183" priority="394" stopIfTrue="1">
      <formula>O15=$G$126</formula>
    </cfRule>
    <cfRule type="expression" dxfId="182" priority="395" stopIfTrue="1">
      <formula>O16=$G$136</formula>
    </cfRule>
  </conditionalFormatting>
  <conditionalFormatting sqref="E55">
    <cfRule type="expression" dxfId="181" priority="392" stopIfTrue="1">
      <formula>E15=$G$126</formula>
    </cfRule>
    <cfRule type="expression" dxfId="180" priority="393" stopIfTrue="1">
      <formula>E16=$G$136</formula>
    </cfRule>
  </conditionalFormatting>
  <conditionalFormatting sqref="F55">
    <cfRule type="expression" dxfId="179" priority="390" stopIfTrue="1">
      <formula>F15=$G$126</formula>
    </cfRule>
    <cfRule type="expression" dxfId="178" priority="391" stopIfTrue="1">
      <formula>F16=$G$136</formula>
    </cfRule>
  </conditionalFormatting>
  <conditionalFormatting sqref="H55">
    <cfRule type="expression" dxfId="177" priority="386" stopIfTrue="1">
      <formula>H15=$G$126</formula>
    </cfRule>
    <cfRule type="expression" dxfId="176" priority="387" stopIfTrue="1">
      <formula>H16=$G$136</formula>
    </cfRule>
  </conditionalFormatting>
  <conditionalFormatting sqref="I55">
    <cfRule type="expression" dxfId="175" priority="384" stopIfTrue="1">
      <formula>I15=$G$126</formula>
    </cfRule>
    <cfRule type="expression" dxfId="174" priority="385" stopIfTrue="1">
      <formula>I16=$G$136</formula>
    </cfRule>
  </conditionalFormatting>
  <conditionalFormatting sqref="J55">
    <cfRule type="expression" dxfId="173" priority="382" stopIfTrue="1">
      <formula>J15=$G$126</formula>
    </cfRule>
    <cfRule type="expression" dxfId="172" priority="383" stopIfTrue="1">
      <formula>J16=$G$136</formula>
    </cfRule>
  </conditionalFormatting>
  <conditionalFormatting sqref="K55">
    <cfRule type="expression" dxfId="171" priority="380" stopIfTrue="1">
      <formula>K15=$G$126</formula>
    </cfRule>
    <cfRule type="expression" dxfId="170" priority="381" stopIfTrue="1">
      <formula>K16=$G$136</formula>
    </cfRule>
  </conditionalFormatting>
  <conditionalFormatting sqref="L55">
    <cfRule type="expression" dxfId="169" priority="378" stopIfTrue="1">
      <formula>L15=$G$126</formula>
    </cfRule>
    <cfRule type="expression" dxfId="168" priority="379" stopIfTrue="1">
      <formula>L16=$G$136</formula>
    </cfRule>
  </conditionalFormatting>
  <conditionalFormatting sqref="M55">
    <cfRule type="expression" dxfId="167" priority="376" stopIfTrue="1">
      <formula>M15=$G$126</formula>
    </cfRule>
    <cfRule type="expression" dxfId="166" priority="377" stopIfTrue="1">
      <formula>M16=$G$136</formula>
    </cfRule>
  </conditionalFormatting>
  <conditionalFormatting sqref="N55">
    <cfRule type="expression" dxfId="165" priority="374" stopIfTrue="1">
      <formula>N15=$G$126</formula>
    </cfRule>
    <cfRule type="expression" dxfId="164" priority="375" stopIfTrue="1">
      <formula>N16=$G$136</formula>
    </cfRule>
  </conditionalFormatting>
  <conditionalFormatting sqref="O55">
    <cfRule type="expression" dxfId="163" priority="372" stopIfTrue="1">
      <formula>O15=$G$126</formula>
    </cfRule>
    <cfRule type="expression" dxfId="162" priority="373" stopIfTrue="1">
      <formula>O16=$G$136</formula>
    </cfRule>
  </conditionalFormatting>
  <conditionalFormatting sqref="E57">
    <cfRule type="expression" dxfId="161" priority="370" stopIfTrue="1">
      <formula>E15=$G$126</formula>
    </cfRule>
    <cfRule type="expression" dxfId="160" priority="371" stopIfTrue="1">
      <formula>E16=$G$136</formula>
    </cfRule>
  </conditionalFormatting>
  <conditionalFormatting sqref="F57">
    <cfRule type="expression" dxfId="159" priority="368" stopIfTrue="1">
      <formula>F15=$G$126</formula>
    </cfRule>
    <cfRule type="expression" dxfId="158" priority="369" stopIfTrue="1">
      <formula>F16=$G$136</formula>
    </cfRule>
  </conditionalFormatting>
  <conditionalFormatting sqref="G57">
    <cfRule type="expression" dxfId="157" priority="366" stopIfTrue="1">
      <formula>G15=$G$126</formula>
    </cfRule>
    <cfRule type="expression" dxfId="156" priority="367" stopIfTrue="1">
      <formula>G16=$G$136</formula>
    </cfRule>
  </conditionalFormatting>
  <conditionalFormatting sqref="H57">
    <cfRule type="expression" dxfId="155" priority="364" stopIfTrue="1">
      <formula>H15=$G$126</formula>
    </cfRule>
    <cfRule type="expression" dxfId="154" priority="365" stopIfTrue="1">
      <formula>H16=$G$136</formula>
    </cfRule>
  </conditionalFormatting>
  <conditionalFormatting sqref="I57">
    <cfRule type="expression" dxfId="153" priority="362" stopIfTrue="1">
      <formula>I15=$G$126</formula>
    </cfRule>
    <cfRule type="expression" dxfId="152" priority="363" stopIfTrue="1">
      <formula>I16=$G$136</formula>
    </cfRule>
  </conditionalFormatting>
  <conditionalFormatting sqref="J57">
    <cfRule type="expression" dxfId="151" priority="360" stopIfTrue="1">
      <formula>J15=$G$126</formula>
    </cfRule>
    <cfRule type="expression" dxfId="150" priority="361" stopIfTrue="1">
      <formula>J16=$G$136</formula>
    </cfRule>
  </conditionalFormatting>
  <conditionalFormatting sqref="K57">
    <cfRule type="expression" dxfId="149" priority="358" stopIfTrue="1">
      <formula>K15=$G$126</formula>
    </cfRule>
    <cfRule type="expression" dxfId="148" priority="359" stopIfTrue="1">
      <formula>K16=$G$136</formula>
    </cfRule>
  </conditionalFormatting>
  <conditionalFormatting sqref="L57">
    <cfRule type="expression" dxfId="147" priority="356" stopIfTrue="1">
      <formula>L15=$G$126</formula>
    </cfRule>
    <cfRule type="expression" dxfId="146" priority="357" stopIfTrue="1">
      <formula>L16=$G$136</formula>
    </cfRule>
  </conditionalFormatting>
  <conditionalFormatting sqref="M57">
    <cfRule type="expression" dxfId="145" priority="354" stopIfTrue="1">
      <formula>M15=$G$126</formula>
    </cfRule>
    <cfRule type="expression" dxfId="144" priority="355" stopIfTrue="1">
      <formula>M16=$G$136</formula>
    </cfRule>
  </conditionalFormatting>
  <conditionalFormatting sqref="N57">
    <cfRule type="expression" dxfId="143" priority="352" stopIfTrue="1">
      <formula>N15=$G$126</formula>
    </cfRule>
    <cfRule type="expression" dxfId="142" priority="353" stopIfTrue="1">
      <formula>N16=$G$136</formula>
    </cfRule>
  </conditionalFormatting>
  <conditionalFormatting sqref="O57">
    <cfRule type="expression" dxfId="141" priority="350" stopIfTrue="1">
      <formula>O15=$G$126</formula>
    </cfRule>
    <cfRule type="expression" dxfId="140" priority="351" stopIfTrue="1">
      <formula>O16=$G$136</formula>
    </cfRule>
  </conditionalFormatting>
  <conditionalFormatting sqref="E20">
    <cfRule type="expression" dxfId="139" priority="348" stopIfTrue="1">
      <formula>E17=1</formula>
    </cfRule>
  </conditionalFormatting>
  <conditionalFormatting sqref="F20">
    <cfRule type="expression" dxfId="138" priority="347" stopIfTrue="1">
      <formula>F17=1</formula>
    </cfRule>
  </conditionalFormatting>
  <conditionalFormatting sqref="G20">
    <cfRule type="expression" dxfId="137" priority="346" stopIfTrue="1">
      <formula>G17=1</formula>
    </cfRule>
  </conditionalFormatting>
  <conditionalFormatting sqref="H20">
    <cfRule type="expression" dxfId="136" priority="345" stopIfTrue="1">
      <formula>H17=1</formula>
    </cfRule>
  </conditionalFormatting>
  <conditionalFormatting sqref="I20">
    <cfRule type="expression" dxfId="135" priority="344" stopIfTrue="1">
      <formula>I17=1</formula>
    </cfRule>
  </conditionalFormatting>
  <conditionalFormatting sqref="J20">
    <cfRule type="expression" dxfId="134" priority="78" stopIfTrue="1">
      <formula>OR(J15=$G$126,J16=$G$136)</formula>
    </cfRule>
    <cfRule type="expression" dxfId="133" priority="343" stopIfTrue="1">
      <formula>J17=1</formula>
    </cfRule>
  </conditionalFormatting>
  <conditionalFormatting sqref="M20">
    <cfRule type="expression" dxfId="132" priority="340" stopIfTrue="1">
      <formula>M17=1</formula>
    </cfRule>
  </conditionalFormatting>
  <conditionalFormatting sqref="N20">
    <cfRule type="expression" dxfId="131" priority="339" stopIfTrue="1">
      <formula>N17=1</formula>
    </cfRule>
  </conditionalFormatting>
  <conditionalFormatting sqref="O20">
    <cfRule type="expression" dxfId="130" priority="338" stopIfTrue="1">
      <formula>O17=1</formula>
    </cfRule>
  </conditionalFormatting>
  <conditionalFormatting sqref="D23:D25">
    <cfRule type="expression" dxfId="129" priority="335" stopIfTrue="1">
      <formula>OR($D$15=$G$126,$D$16=$G$136,$D$17&lt;2)</formula>
    </cfRule>
  </conditionalFormatting>
  <conditionalFormatting sqref="D27:D29">
    <cfRule type="expression" dxfId="128" priority="332" stopIfTrue="1">
      <formula>OR($D$15=$G$126,$D$16=$G$136,$D$17&lt;3)</formula>
    </cfRule>
  </conditionalFormatting>
  <conditionalFormatting sqref="D31:D33">
    <cfRule type="expression" dxfId="127" priority="329" stopIfTrue="1">
      <formula>OR($D$15=$G$126,$D$16=$G$136,$D$17&lt;4)</formula>
    </cfRule>
  </conditionalFormatting>
  <conditionalFormatting sqref="D35:D37">
    <cfRule type="expression" dxfId="126" priority="326" stopIfTrue="1">
      <formula>OR($D$15=$G$126,$D$16=$G$136,$D$17&lt;5)</formula>
    </cfRule>
  </conditionalFormatting>
  <conditionalFormatting sqref="D39:D41">
    <cfRule type="expression" dxfId="125" priority="323" stopIfTrue="1">
      <formula>OR($D$15=$G$126,$D$16=$G$136,$D$17&lt;6)</formula>
    </cfRule>
  </conditionalFormatting>
  <conditionalFormatting sqref="D43:D45">
    <cfRule type="expression" dxfId="124" priority="320" stopIfTrue="1">
      <formula>OR($D$15=$G$126,$D$16=$G$136,$D$17&lt;7)</formula>
    </cfRule>
  </conditionalFormatting>
  <conditionalFormatting sqref="D47:D49">
    <cfRule type="expression" dxfId="123" priority="317" stopIfTrue="1">
      <formula>OR($D$15=$G$126,$D$16=$G$136,$D$17&lt;8)</formula>
    </cfRule>
  </conditionalFormatting>
  <conditionalFormatting sqref="E23:E25">
    <cfRule type="expression" dxfId="122" priority="312" stopIfTrue="1">
      <formula>OR($E$15=$G$126,$E$16=$G$136,$E$17&lt;2)</formula>
    </cfRule>
  </conditionalFormatting>
  <conditionalFormatting sqref="E27:E29">
    <cfRule type="expression" dxfId="121" priority="308" stopIfTrue="1">
      <formula>OR($E$15=$G$126,$E$16=$G$136,$E$17&lt;3)</formula>
    </cfRule>
  </conditionalFormatting>
  <conditionalFormatting sqref="E31:E33">
    <cfRule type="expression" dxfId="120" priority="305" stopIfTrue="1">
      <formula>OR($E$15=$G$126,$E$16=$G$136,$E$17&lt;4)</formula>
    </cfRule>
  </conditionalFormatting>
  <conditionalFormatting sqref="E35:E37">
    <cfRule type="expression" dxfId="119" priority="302" stopIfTrue="1">
      <formula>OR($E$15=$G$126,$E$16=$G$136,$E$17&lt;5)</formula>
    </cfRule>
  </conditionalFormatting>
  <conditionalFormatting sqref="E39:E41">
    <cfRule type="expression" dxfId="118" priority="299" stopIfTrue="1">
      <formula>OR($E$15=$G$126,$E$16=$G$136,$E$17&lt;6)</formula>
    </cfRule>
  </conditionalFormatting>
  <conditionalFormatting sqref="E43:E45">
    <cfRule type="expression" dxfId="117" priority="296" stopIfTrue="1">
      <formula>OR($E$15=$G$126,$E$16=$G$136,$E$17&lt;7)</formula>
    </cfRule>
  </conditionalFormatting>
  <conditionalFormatting sqref="E47:E49">
    <cfRule type="expression" dxfId="116" priority="293" stopIfTrue="1">
      <formula>OR($E$15=$G$126,$E$16=$G$136,$E$17&lt;8)</formula>
    </cfRule>
  </conditionalFormatting>
  <conditionalFormatting sqref="F23:F25">
    <cfRule type="expression" dxfId="115" priority="290" stopIfTrue="1">
      <formula>OR($F$15=$G$126,$F$16=$G$136,$F$17&lt;2)</formula>
    </cfRule>
  </conditionalFormatting>
  <conditionalFormatting sqref="F27:F29">
    <cfRule type="expression" dxfId="114" priority="287" stopIfTrue="1">
      <formula>OR($F$15=$G$126,$F$16=$G$136,$F$17&lt;3)</formula>
    </cfRule>
  </conditionalFormatting>
  <conditionalFormatting sqref="F31:F33">
    <cfRule type="expression" dxfId="113" priority="284" stopIfTrue="1">
      <formula>OR($F$15=$G$126,$F$16=$G$136,$F$17&lt;4)</formula>
    </cfRule>
  </conditionalFormatting>
  <conditionalFormatting sqref="F35:F37">
    <cfRule type="expression" dxfId="112" priority="281" stopIfTrue="1">
      <formula>OR($F$15=$G$126,$F$16=$G$136,$F$17&lt;5)</formula>
    </cfRule>
  </conditionalFormatting>
  <conditionalFormatting sqref="F39:F41">
    <cfRule type="expression" dxfId="111" priority="278" stopIfTrue="1">
      <formula>OR($F$15=$G$126,$F$16=$G$136,$F$17&lt;6)</formula>
    </cfRule>
  </conditionalFormatting>
  <conditionalFormatting sqref="F43:F45">
    <cfRule type="expression" dxfId="110" priority="275" stopIfTrue="1">
      <formula>OR($F$15=$G$126,$F$16=$G$136,$F$17&lt;7)</formula>
    </cfRule>
  </conditionalFormatting>
  <conditionalFormatting sqref="F47:F49">
    <cfRule type="expression" dxfId="109" priority="272" stopIfTrue="1">
      <formula>OR($F$15=$G$126,$F$16=$G$136,$F$17&lt;8)</formula>
    </cfRule>
  </conditionalFormatting>
  <conditionalFormatting sqref="G23:G25">
    <cfRule type="expression" dxfId="108" priority="269" stopIfTrue="1">
      <formula>OR($G$15=$G$126,$G$16=$G$136,$G$17&lt;2)</formula>
    </cfRule>
  </conditionalFormatting>
  <conditionalFormatting sqref="G27:G29">
    <cfRule type="expression" dxfId="107" priority="266" stopIfTrue="1">
      <formula>OR($G$15=$G$126,$G$16=$G$136,$G$17&lt;3)</formula>
    </cfRule>
  </conditionalFormatting>
  <conditionalFormatting sqref="G31:G33">
    <cfRule type="expression" dxfId="106" priority="263" stopIfTrue="1">
      <formula>OR($G$15=$G$126,$G$16=$G$136,$G$17&lt;4)</formula>
    </cfRule>
  </conditionalFormatting>
  <conditionalFormatting sqref="G35:G37">
    <cfRule type="expression" dxfId="105" priority="260" stopIfTrue="1">
      <formula>OR($G$15=$G$126,$G$16=$G$136,$G$17&lt;5)</formula>
    </cfRule>
  </conditionalFormatting>
  <conditionalFormatting sqref="G39:G41">
    <cfRule type="expression" dxfId="104" priority="257" stopIfTrue="1">
      <formula>OR($G$15=$G$126,$G$16=$G$136,$G$17&lt;6)</formula>
    </cfRule>
  </conditionalFormatting>
  <conditionalFormatting sqref="G43:G45">
    <cfRule type="expression" dxfId="103" priority="254" stopIfTrue="1">
      <formula>OR($G$15=$G$126,$G$16=$G$136,$G$17&lt;7)</formula>
    </cfRule>
  </conditionalFormatting>
  <conditionalFormatting sqref="G47:G49">
    <cfRule type="expression" dxfId="102" priority="251" stopIfTrue="1">
      <formula>OR($G$15=$G$126,$G$16=$G$136,$G$17&lt;8)</formula>
    </cfRule>
  </conditionalFormatting>
  <conditionalFormatting sqref="H23:H25">
    <cfRule type="expression" dxfId="101" priority="248" stopIfTrue="1">
      <formula>OR($H$15=$G$126,$H$16=$G$136,$H$17&lt;2)</formula>
    </cfRule>
  </conditionalFormatting>
  <conditionalFormatting sqref="H27:H29">
    <cfRule type="expression" dxfId="100" priority="245" stopIfTrue="1">
      <formula>OR($H$15=$G$126,$H$16=$G$136,$H$17&lt;3)</formula>
    </cfRule>
  </conditionalFormatting>
  <conditionalFormatting sqref="H31:H33">
    <cfRule type="expression" dxfId="99" priority="242" stopIfTrue="1">
      <formula>OR($H$15=$G$126,$H$16=$G$136,$H$17&lt;4)</formula>
    </cfRule>
  </conditionalFormatting>
  <conditionalFormatting sqref="H35:H37">
    <cfRule type="expression" dxfId="98" priority="239" stopIfTrue="1">
      <formula>OR($H$15=$G$126,$H$16=$G$136,$H$17&lt;5)</formula>
    </cfRule>
  </conditionalFormatting>
  <conditionalFormatting sqref="H39:H41">
    <cfRule type="expression" dxfId="97" priority="236" stopIfTrue="1">
      <formula>OR($H$15=$G$126,$H$16=$G$136,$H$17&lt;6)</formula>
    </cfRule>
  </conditionalFormatting>
  <conditionalFormatting sqref="H43:H45">
    <cfRule type="expression" dxfId="96" priority="233" stopIfTrue="1">
      <formula>OR($H$15=$G$126,$H$16=$G$136,$H$17&lt;7)</formula>
    </cfRule>
  </conditionalFormatting>
  <conditionalFormatting sqref="H47:H49">
    <cfRule type="expression" dxfId="95" priority="230" stopIfTrue="1">
      <formula>OR($H$15=$G$126,$H$16=$G$136,$H$17&lt;8)</formula>
    </cfRule>
  </conditionalFormatting>
  <conditionalFormatting sqref="I23:I25">
    <cfRule type="expression" dxfId="94" priority="227" stopIfTrue="1">
      <formula>OR($I$15=$G$126,$I$16=$G$136,$I$17&lt;2)</formula>
    </cfRule>
  </conditionalFormatting>
  <conditionalFormatting sqref="I27:I29">
    <cfRule type="expression" dxfId="93" priority="224" stopIfTrue="1">
      <formula>OR($I$15=$G$126,$I$16=$G$136,$I$17&lt;3)</formula>
    </cfRule>
  </conditionalFormatting>
  <conditionalFormatting sqref="I31:I33">
    <cfRule type="expression" dxfId="92" priority="221" stopIfTrue="1">
      <formula>OR($I$15=$G$126,$I$16=$G$136,$I$17&lt;4)</formula>
    </cfRule>
  </conditionalFormatting>
  <conditionalFormatting sqref="I35:I37">
    <cfRule type="expression" dxfId="91" priority="218" stopIfTrue="1">
      <formula>OR($I$15=$G$126,$I$16=$G$136,$I$17&lt;5)</formula>
    </cfRule>
  </conditionalFormatting>
  <conditionalFormatting sqref="I39:I41">
    <cfRule type="expression" dxfId="90" priority="215" stopIfTrue="1">
      <formula>OR($I$15=$G$126,$I$16=$G$136,$I$17&lt;6)</formula>
    </cfRule>
  </conditionalFormatting>
  <conditionalFormatting sqref="I43:I45">
    <cfRule type="expression" dxfId="89" priority="212" stopIfTrue="1">
      <formula>OR($I$15=$G$126,$I$16=$G$136,$I$17&lt;7)</formula>
    </cfRule>
  </conditionalFormatting>
  <conditionalFormatting sqref="I47:I49">
    <cfRule type="expression" dxfId="88" priority="209" stopIfTrue="1">
      <formula>OR($I$15=$G$126,$I$16=$G$136,$I$17&lt;8)</formula>
    </cfRule>
  </conditionalFormatting>
  <conditionalFormatting sqref="J23:J25">
    <cfRule type="expression" dxfId="87" priority="206" stopIfTrue="1">
      <formula>OR($J$15=$G$126,$J$16=$G$136,$J$17&lt;2)</formula>
    </cfRule>
  </conditionalFormatting>
  <conditionalFormatting sqref="J27:J29">
    <cfRule type="expression" dxfId="86" priority="203" stopIfTrue="1">
      <formula>OR($J$15=$G$126,$J$16=$G$136,$J$17&lt;3)</formula>
    </cfRule>
  </conditionalFormatting>
  <conditionalFormatting sqref="J31:J33">
    <cfRule type="expression" dxfId="85" priority="200" stopIfTrue="1">
      <formula>OR($J$15=$G$126,$J$16=$G$136,$J$17&lt;4)</formula>
    </cfRule>
  </conditionalFormatting>
  <conditionalFormatting sqref="J35:J37">
    <cfRule type="expression" dxfId="84" priority="197" stopIfTrue="1">
      <formula>OR($J$15=$G$126,$J$16=$G$136,$J$17&lt;5)</formula>
    </cfRule>
  </conditionalFormatting>
  <conditionalFormatting sqref="J39:J41">
    <cfRule type="expression" dxfId="83" priority="194" stopIfTrue="1">
      <formula>OR($J$15=$G$126,$J$16=$G$136,$J$17&lt;6)</formula>
    </cfRule>
  </conditionalFormatting>
  <conditionalFormatting sqref="J43:J45">
    <cfRule type="expression" dxfId="82" priority="191" stopIfTrue="1">
      <formula>OR($J$15=$G$126,$J$16=$G$136,$J$17&lt;7)</formula>
    </cfRule>
  </conditionalFormatting>
  <conditionalFormatting sqref="J47:J49">
    <cfRule type="expression" dxfId="81" priority="188" stopIfTrue="1">
      <formula>OR($J$15=$G$126,$J$16=$G$136,$J$17&lt;8)</formula>
    </cfRule>
  </conditionalFormatting>
  <conditionalFormatting sqref="K23:K25">
    <cfRule type="expression" dxfId="80" priority="185" stopIfTrue="1">
      <formula>OR($K$15=$G$126,$K$16=$G$136,$K$17&lt;2)</formula>
    </cfRule>
  </conditionalFormatting>
  <conditionalFormatting sqref="K27:K29">
    <cfRule type="expression" dxfId="79" priority="182" stopIfTrue="1">
      <formula>OR($K$15=$G$126,$K$16=$G$136,$K$17&lt;3)</formula>
    </cfRule>
  </conditionalFormatting>
  <conditionalFormatting sqref="K31:K33">
    <cfRule type="expression" dxfId="78" priority="179" stopIfTrue="1">
      <formula>OR($K$15=$G$126,$K$16=$G$136,$K$17&lt;4)</formula>
    </cfRule>
  </conditionalFormatting>
  <conditionalFormatting sqref="K35:K37">
    <cfRule type="expression" dxfId="77" priority="176" stopIfTrue="1">
      <formula>OR($K$15=$G$126,$K$16=$G$136,$K$17&lt;5)</formula>
    </cfRule>
  </conditionalFormatting>
  <conditionalFormatting sqref="K39:K41">
    <cfRule type="expression" dxfId="76" priority="173" stopIfTrue="1">
      <formula>OR($K$15=$G$126,$K$16=$G$136,$K$17&lt;6)</formula>
    </cfRule>
  </conditionalFormatting>
  <conditionalFormatting sqref="K43:K45">
    <cfRule type="expression" dxfId="75" priority="170" stopIfTrue="1">
      <formula>OR($K$15=$G$126,$K$16=$G$136,$K$17&lt;7)</formula>
    </cfRule>
  </conditionalFormatting>
  <conditionalFormatting sqref="K47:K49">
    <cfRule type="expression" dxfId="74" priority="167" stopIfTrue="1">
      <formula>OR($K$15=$G$126,$K$16=$G$136,$K$17&lt;8)</formula>
    </cfRule>
  </conditionalFormatting>
  <conditionalFormatting sqref="L23:L25">
    <cfRule type="expression" dxfId="73" priority="164" stopIfTrue="1">
      <formula>OR($L$15=$G$126,$L$16=$G$136,$L$17&lt;2)</formula>
    </cfRule>
  </conditionalFormatting>
  <conditionalFormatting sqref="L27:L29">
    <cfRule type="expression" dxfId="72" priority="161" stopIfTrue="1">
      <formula>OR($L$15=$G$126,$L$16=$G$136,$L$17&lt;3)</formula>
    </cfRule>
  </conditionalFormatting>
  <conditionalFormatting sqref="L31:L33">
    <cfRule type="expression" dxfId="71" priority="158" stopIfTrue="1">
      <formula>OR($L$15=$G$126,$L$16=$G$136,$L$17&lt;4)</formula>
    </cfRule>
  </conditionalFormatting>
  <conditionalFormatting sqref="L35:L37">
    <cfRule type="expression" dxfId="70" priority="155" stopIfTrue="1">
      <formula>OR($L$15=$G$126,$L$16=$G$136,$L$17&lt;5)</formula>
    </cfRule>
  </conditionalFormatting>
  <conditionalFormatting sqref="L39:L41">
    <cfRule type="expression" dxfId="69" priority="152" stopIfTrue="1">
      <formula>OR($L$15=$G$126,$L$16=$G$136,$L$17&lt;6)</formula>
    </cfRule>
  </conditionalFormatting>
  <conditionalFormatting sqref="L43:L45">
    <cfRule type="expression" dxfId="68" priority="149" stopIfTrue="1">
      <formula>OR($L$15=$G$126,$L$16=$G$136,$L$17&lt;7)</formula>
    </cfRule>
  </conditionalFormatting>
  <conditionalFormatting sqref="L47:L49">
    <cfRule type="expression" dxfId="67" priority="146" stopIfTrue="1">
      <formula>OR($L$15=$G$126,$L$16=$G$136,$L$17&lt;8)</formula>
    </cfRule>
  </conditionalFormatting>
  <conditionalFormatting sqref="M23:M25">
    <cfRule type="expression" dxfId="66" priority="143" stopIfTrue="1">
      <formula>OR($M$15=$G$126,$M$16=$G$136,$M$17&lt;2)</formula>
    </cfRule>
  </conditionalFormatting>
  <conditionalFormatting sqref="M27:M29">
    <cfRule type="expression" dxfId="65" priority="140" stopIfTrue="1">
      <formula>OR($M$15=$G$126,$M$16=$G$136,$M$17&lt;3)</formula>
    </cfRule>
  </conditionalFormatting>
  <conditionalFormatting sqref="M31:M33">
    <cfRule type="expression" dxfId="64" priority="137" stopIfTrue="1">
      <formula>OR($M$15=$G$126,$M$16=$G$136,$M$17&lt;4)</formula>
    </cfRule>
  </conditionalFormatting>
  <conditionalFormatting sqref="M35:M37">
    <cfRule type="expression" dxfId="63" priority="134" stopIfTrue="1">
      <formula>OR($M$15=$G$126,$M$16=$G$136,$M$17&lt;5)</formula>
    </cfRule>
  </conditionalFormatting>
  <conditionalFormatting sqref="M39:M41">
    <cfRule type="expression" dxfId="62" priority="131" stopIfTrue="1">
      <formula>OR($M$15=$G$126,$M$16=$G$136,$M$17&lt;6)</formula>
    </cfRule>
  </conditionalFormatting>
  <conditionalFormatting sqref="M43:M45">
    <cfRule type="expression" dxfId="61" priority="128" stopIfTrue="1">
      <formula>OR($M$15=$G$126,$M$16=$G$136,$M$17&lt;7)</formula>
    </cfRule>
  </conditionalFormatting>
  <conditionalFormatting sqref="M47:M49">
    <cfRule type="expression" dxfId="60" priority="125" stopIfTrue="1">
      <formula>OR($M$15=$G$126,$M$16=$G$136,$M$17&lt;8)</formula>
    </cfRule>
  </conditionalFormatting>
  <conditionalFormatting sqref="N23:N25">
    <cfRule type="expression" dxfId="59" priority="122" stopIfTrue="1">
      <formula>OR($N$15=$G$126,$N$16=$G$136,$N$17&lt;2)</formula>
    </cfRule>
  </conditionalFormatting>
  <conditionalFormatting sqref="N27:N29">
    <cfRule type="expression" dxfId="58" priority="119" stopIfTrue="1">
      <formula>OR($N$15=$G$126,$N$16=$G$136,$N$17&lt;3)</formula>
    </cfRule>
  </conditionalFormatting>
  <conditionalFormatting sqref="N31:N33">
    <cfRule type="expression" dxfId="57" priority="116" stopIfTrue="1">
      <formula>OR($N$15=$G$126,$N$16=$G$136,$N$17&lt;4)</formula>
    </cfRule>
  </conditionalFormatting>
  <conditionalFormatting sqref="N35:N37">
    <cfRule type="expression" dxfId="56" priority="113" stopIfTrue="1">
      <formula>OR($N$15=$G$126,$N$16=$G$136,$N$17&lt;5)</formula>
    </cfRule>
  </conditionalFormatting>
  <conditionalFormatting sqref="N39:N41">
    <cfRule type="expression" dxfId="55" priority="110" stopIfTrue="1">
      <formula>OR($N$15=$G$126,$N$16=$G$136,$N$17&lt;6)</formula>
    </cfRule>
  </conditionalFormatting>
  <conditionalFormatting sqref="N43:N45">
    <cfRule type="expression" dxfId="54" priority="107" stopIfTrue="1">
      <formula>OR($N$15=$G$126,$N$16=$G$136,$N$17&lt;7)</formula>
    </cfRule>
  </conditionalFormatting>
  <conditionalFormatting sqref="N47:N49">
    <cfRule type="expression" dxfId="53" priority="104" stopIfTrue="1">
      <formula>OR($N$15=$G$126,$N$16=$G$136,$N$17&lt;8)</formula>
    </cfRule>
  </conditionalFormatting>
  <conditionalFormatting sqref="O23:O25">
    <cfRule type="expression" dxfId="52" priority="101" stopIfTrue="1">
      <formula>OR($O$15=$G$126,$O$16=$G$136,$O$17&lt;2)</formula>
    </cfRule>
  </conditionalFormatting>
  <conditionalFormatting sqref="O27:O29">
    <cfRule type="expression" dxfId="51" priority="98" stopIfTrue="1">
      <formula>OR($O$15=$G$126,$O$16=$G$136,$O$17&lt;3)</formula>
    </cfRule>
  </conditionalFormatting>
  <conditionalFormatting sqref="O31:O33">
    <cfRule type="expression" dxfId="50" priority="95" stopIfTrue="1">
      <formula>OR($O$15=$G$126,$O$16=$G$136,$O$17&lt;4)</formula>
    </cfRule>
  </conditionalFormatting>
  <conditionalFormatting sqref="O35:O37">
    <cfRule type="expression" dxfId="49" priority="92" stopIfTrue="1">
      <formula>OR($O$15=$G$126,$O$16=$G$136,$O$17&lt;5)</formula>
    </cfRule>
  </conditionalFormatting>
  <conditionalFormatting sqref="O39:O41">
    <cfRule type="expression" dxfId="48" priority="89" stopIfTrue="1">
      <formula>OR($O$15=$G$126,$O$16=$G$136,$O$17&lt;6)</formula>
    </cfRule>
  </conditionalFormatting>
  <conditionalFormatting sqref="O43:O45">
    <cfRule type="expression" dxfId="47" priority="86" stopIfTrue="1">
      <formula>OR($O$15=$G$126,$O$16=$G$136,$O$17&lt;7)</formula>
    </cfRule>
  </conditionalFormatting>
  <conditionalFormatting sqref="O47:O49">
    <cfRule type="expression" dxfId="46" priority="83" stopIfTrue="1">
      <formula>OR($O$15=$G$126,$O$16=$G$136,$O$17&lt;8)</formula>
    </cfRule>
  </conditionalFormatting>
  <conditionalFormatting sqref="J19">
    <cfRule type="expression" dxfId="45" priority="79" stopIfTrue="1">
      <formula>OR(J15=$G$126,J16=$G$136)</formula>
    </cfRule>
  </conditionalFormatting>
  <conditionalFormatting sqref="J21">
    <cfRule type="expression" dxfId="44" priority="77" stopIfTrue="1">
      <formula>OR(J15=$G$126,J16=$G$136)</formula>
    </cfRule>
  </conditionalFormatting>
  <conditionalFormatting sqref="K20">
    <cfRule type="expression" dxfId="43" priority="71" stopIfTrue="1">
      <formula>OR(K15=$G$126,K16=$G$136)</formula>
    </cfRule>
    <cfRule type="expression" dxfId="42" priority="72" stopIfTrue="1">
      <formula>K17=1</formula>
    </cfRule>
  </conditionalFormatting>
  <conditionalFormatting sqref="K19">
    <cfRule type="expression" dxfId="41" priority="70" stopIfTrue="1">
      <formula>OR(K15=$G$126,K16=$G$136)</formula>
    </cfRule>
  </conditionalFormatting>
  <conditionalFormatting sqref="K21">
    <cfRule type="expression" dxfId="40" priority="69" stopIfTrue="1">
      <formula>OR(K15=$G$126,K16=$G$136)</formula>
    </cfRule>
  </conditionalFormatting>
  <conditionalFormatting sqref="L20">
    <cfRule type="expression" dxfId="39" priority="66" stopIfTrue="1">
      <formula>L17=1</formula>
    </cfRule>
  </conditionalFormatting>
  <conditionalFormatting sqref="L20">
    <cfRule type="expression" dxfId="38" priority="59" stopIfTrue="1">
      <formula>OR(L15=$G$126,L16=$G$136)</formula>
    </cfRule>
  </conditionalFormatting>
  <conditionalFormatting sqref="L19">
    <cfRule type="expression" dxfId="37" priority="58" stopIfTrue="1">
      <formula>OR(L15=$G$126,L16=$G$136)</formula>
    </cfRule>
  </conditionalFormatting>
  <conditionalFormatting sqref="L21">
    <cfRule type="expression" dxfId="36" priority="57" stopIfTrue="1">
      <formula>OR(L15=$G$126,L16=$G$136)</formula>
    </cfRule>
  </conditionalFormatting>
  <conditionalFormatting sqref="M20">
    <cfRule type="expression" dxfId="35" priority="55" stopIfTrue="1">
      <formula>OR(M15=$G$126,M16=$G$136)</formula>
    </cfRule>
  </conditionalFormatting>
  <conditionalFormatting sqref="M19">
    <cfRule type="expression" dxfId="34" priority="54" stopIfTrue="1">
      <formula>OR(M15=$G$126,M16=$G$136)</formula>
    </cfRule>
  </conditionalFormatting>
  <conditionalFormatting sqref="M21">
    <cfRule type="expression" dxfId="33" priority="53" stopIfTrue="1">
      <formula>OR(M15=$G$126,M16=$G$136)</formula>
    </cfRule>
  </conditionalFormatting>
  <conditionalFormatting sqref="N20">
    <cfRule type="expression" dxfId="32" priority="51" stopIfTrue="1">
      <formula>OR(N15=$G$126,N16=$G$136)</formula>
    </cfRule>
  </conditionalFormatting>
  <conditionalFormatting sqref="N19">
    <cfRule type="expression" dxfId="31" priority="50" stopIfTrue="1">
      <formula>OR(N15=$G$126,N16=$G$136)</formula>
    </cfRule>
  </conditionalFormatting>
  <conditionalFormatting sqref="N21">
    <cfRule type="expression" dxfId="30" priority="49" stopIfTrue="1">
      <formula>OR(N15=$G$126,N16=$G$136)</formula>
    </cfRule>
  </conditionalFormatting>
  <conditionalFormatting sqref="O20">
    <cfRule type="expression" dxfId="29" priority="47" stopIfTrue="1">
      <formula>OR(O15=$G$126,O16=$G$136)</formula>
    </cfRule>
  </conditionalFormatting>
  <conditionalFormatting sqref="O19">
    <cfRule type="expression" dxfId="28" priority="46" stopIfTrue="1">
      <formula>OR(O15=$G$126,O16=$G$136)</formula>
    </cfRule>
  </conditionalFormatting>
  <conditionalFormatting sqref="O21">
    <cfRule type="expression" dxfId="27" priority="45" stopIfTrue="1">
      <formula>OR(O15=$G$126,O16=$G$136)</formula>
    </cfRule>
  </conditionalFormatting>
  <conditionalFormatting sqref="I20">
    <cfRule type="expression" dxfId="26" priority="43" stopIfTrue="1">
      <formula>OR(I15=$G$126,I16=$G$136)</formula>
    </cfRule>
  </conditionalFormatting>
  <conditionalFormatting sqref="I19">
    <cfRule type="expression" dxfId="25" priority="42" stopIfTrue="1">
      <formula>OR(I15=$G$126,I16=$G$136)</formula>
    </cfRule>
  </conditionalFormatting>
  <conditionalFormatting sqref="I21">
    <cfRule type="expression" dxfId="24" priority="41" stopIfTrue="1">
      <formula>OR(I15=$G$126,I16=$G$136)</formula>
    </cfRule>
  </conditionalFormatting>
  <conditionalFormatting sqref="H20">
    <cfRule type="expression" dxfId="23" priority="39" stopIfTrue="1">
      <formula>OR(H15=$G$126,H16=$G$136)</formula>
    </cfRule>
  </conditionalFormatting>
  <conditionalFormatting sqref="H19">
    <cfRule type="expression" dxfId="22" priority="38" stopIfTrue="1">
      <formula>OR(H15=$G$126,H16=$G$136)</formula>
    </cfRule>
  </conditionalFormatting>
  <conditionalFormatting sqref="H21">
    <cfRule type="expression" dxfId="21" priority="37" stopIfTrue="1">
      <formula>OR(H15=$G$126,H16=$G$136)</formula>
    </cfRule>
  </conditionalFormatting>
  <conditionalFormatting sqref="G20">
    <cfRule type="expression" dxfId="20" priority="35" stopIfTrue="1">
      <formula>OR(G15=$G$126,G16=$G$136)</formula>
    </cfRule>
  </conditionalFormatting>
  <conditionalFormatting sqref="G19">
    <cfRule type="expression" dxfId="19" priority="34" stopIfTrue="1">
      <formula>OR(G15=$G$126,G16=$G$136)</formula>
    </cfRule>
  </conditionalFormatting>
  <conditionalFormatting sqref="G21">
    <cfRule type="expression" dxfId="18" priority="33" stopIfTrue="1">
      <formula>OR(G15=$G$126,G16=$G$136)</formula>
    </cfRule>
  </conditionalFormatting>
  <conditionalFormatting sqref="F20">
    <cfRule type="expression" dxfId="17" priority="31" stopIfTrue="1">
      <formula>OR(F15=$G$126,F16=$G$136)</formula>
    </cfRule>
  </conditionalFormatting>
  <conditionalFormatting sqref="F19">
    <cfRule type="expression" dxfId="16" priority="30" stopIfTrue="1">
      <formula>OR(F15=$G$126,F16=$G$136)</formula>
    </cfRule>
  </conditionalFormatting>
  <conditionalFormatting sqref="F21">
    <cfRule type="expression" dxfId="15" priority="29" stopIfTrue="1">
      <formula>OR(F15=$G$126,F16=$G$136)</formula>
    </cfRule>
  </conditionalFormatting>
  <conditionalFormatting sqref="E20">
    <cfRule type="expression" dxfId="14" priority="27" stopIfTrue="1">
      <formula>OR(E15=$G$126,E16=$G$136)</formula>
    </cfRule>
  </conditionalFormatting>
  <conditionalFormatting sqref="E19">
    <cfRule type="expression" dxfId="13" priority="26" stopIfTrue="1">
      <formula>OR(E15=$G$126,E16=$G$136)</formula>
    </cfRule>
  </conditionalFormatting>
  <conditionalFormatting sqref="E21">
    <cfRule type="expression" dxfId="12" priority="25" stopIfTrue="1">
      <formula>OR(E15=$G$126,E16=$G$136)</formula>
    </cfRule>
  </conditionalFormatting>
  <conditionalFormatting sqref="D20">
    <cfRule type="expression" dxfId="11" priority="24" stopIfTrue="1">
      <formula>D17=1</formula>
    </cfRule>
  </conditionalFormatting>
  <conditionalFormatting sqref="D20">
    <cfRule type="expression" dxfId="10" priority="23" stopIfTrue="1">
      <formula>OR(D15=$G$126,D16=$G$136)</formula>
    </cfRule>
  </conditionalFormatting>
  <conditionalFormatting sqref="D19">
    <cfRule type="expression" dxfId="9" priority="22" stopIfTrue="1">
      <formula>OR(D15=$G$126,D16=$G$136)</formula>
    </cfRule>
  </conditionalFormatting>
  <conditionalFormatting sqref="D21">
    <cfRule type="expression" dxfId="8" priority="21" stopIfTrue="1">
      <formula>OR(D15=$G$126,D16=$G$136)</formula>
    </cfRule>
  </conditionalFormatting>
  <conditionalFormatting sqref="B71">
    <cfRule type="expression" dxfId="7" priority="20" stopIfTrue="1">
      <formula>OR($G$63=$G$125,$G$65=$G$125,$G$67=$G$125)</formula>
    </cfRule>
  </conditionalFormatting>
  <conditionalFormatting sqref="G55">
    <cfRule type="expression" dxfId="6" priority="18" stopIfTrue="1">
      <formula>G15=$G$126</formula>
    </cfRule>
    <cfRule type="expression" dxfId="5" priority="19" stopIfTrue="1">
      <formula>G16=$G$136</formula>
    </cfRule>
  </conditionalFormatting>
  <conditionalFormatting sqref="G71">
    <cfRule type="expression" dxfId="4" priority="2506" stopIfTrue="1">
      <formula>OR($B$71=$C$140,$B$71="")</formula>
    </cfRule>
  </conditionalFormatting>
  <conditionalFormatting sqref="L5:O5">
    <cfRule type="expression" dxfId="3" priority="2560" stopIfTrue="1">
      <formula>OR($D$5=$C$156,$D$5=$C$157)</formula>
    </cfRule>
  </conditionalFormatting>
  <conditionalFormatting sqref="D7:G7">
    <cfRule type="expression" dxfId="2" priority="4" stopIfTrue="1">
      <formula>OR($D$5=$C$156,$D$5=$C$157)</formula>
    </cfRule>
  </conditionalFormatting>
  <conditionalFormatting sqref="C9:I10">
    <cfRule type="expression" dxfId="1" priority="2">
      <formula>NOT(OR($D$5=$C$169,$D$5=$C$168))</formula>
    </cfRule>
  </conditionalFormatting>
  <conditionalFormatting sqref="H5:K5">
    <cfRule type="expression" dxfId="0" priority="1">
      <formula>OR($D$5=$C$156,$D$5=$C$157)</formula>
    </cfRule>
  </conditionalFormatting>
  <dataValidations xWindow="803" yWindow="529" count="11">
    <dataValidation type="list" allowBlank="1" showInputMessage="1" showErrorMessage="1" sqref="B71" xr:uid="{00000000-0002-0000-0B00-000000000000}">
      <formula1>$C$140:$C$143</formula1>
    </dataValidation>
    <dataValidation type="list" allowBlank="1" showInputMessage="1" showErrorMessage="1" sqref="G67 G65:H65 G63:H63 D9" xr:uid="{00000000-0002-0000-0B00-000001000000}">
      <formula1>$G$124:$G$126</formula1>
    </dataValidation>
    <dataValidation allowBlank="1" showInputMessage="1" showErrorMessage="1" prompt="If you are inputting only one type of specification for this component then you do not need to enter the number of fittings for the component type. The no. of fittings is required onlywhere there are multiple specifications of the same component type._x000a_" sqref="D20:O20" xr:uid="{00000000-0002-0000-0B00-000002000000}"/>
    <dataValidation type="list" allowBlank="1" showInputMessage="1" showErrorMessage="1" sqref="D17:O17" xr:uid="{00000000-0002-0000-0B00-000003000000}">
      <formula1>Wat01_Component_type_no_list</formula1>
    </dataValidation>
    <dataValidation type="list" allowBlank="1" showInputMessage="1" showErrorMessage="1" sqref="D10" xr:uid="{00000000-0002-0000-0B00-000004000000}">
      <formula1>$C$159:$C$162</formula1>
    </dataValidation>
    <dataValidation type="list" allowBlank="1" showInputMessage="1" showErrorMessage="1" sqref="D16:O16" xr:uid="{00000000-0002-0000-0B00-000005000000}">
      <formula1>$G$134:$G$136</formula1>
    </dataValidation>
    <dataValidation type="list" allowBlank="1" showInputMessage="1" showErrorMessage="1" sqref="D8:G8 D6:G6" xr:uid="{00000000-0002-0000-0B00-000006000000}">
      <formula1>$C$157</formula1>
    </dataValidation>
    <dataValidation type="list" allowBlank="1" showInputMessage="1" showErrorMessage="1" sqref="D7:G7" xr:uid="{00000000-0002-0000-0B00-000007000000}">
      <formula1>Precipitation_List</formula1>
    </dataValidation>
    <dataValidation type="list" allowBlank="1" showInputMessage="1" showErrorMessage="1" sqref="D5:G5" xr:uid="{00000000-0002-0000-0B00-000008000000}">
      <formula1>$C$166:$C$171</formula1>
    </dataValidation>
    <dataValidation type="decimal" operator="lessThanOrEqual" allowBlank="1" showInputMessage="1" showErrorMessage="1" sqref="H9" xr:uid="{00000000-0002-0000-0B00-000009000000}">
      <formula1>1</formula1>
    </dataValidation>
    <dataValidation type="list" allowBlank="1" showInputMessage="1" showErrorMessage="1" prompt="Refer to table 39 in the BREEAM International NC 2016 manual for the definitions of the various water efficient component levels." sqref="D19:O19 D23:O23 D43:O43 D39:O39 D35:O35 D31:O31 D27:O27 D47:O47" xr:uid="{00000000-0002-0000-0B00-00000A000000}">
      <formula1>$D$116:$D$122</formula1>
    </dataValidation>
  </dataValidations>
  <pageMargins left="0.7" right="0.7" top="0.75" bottom="0.75" header="0.3" footer="0.3"/>
  <pageSetup paperSize="9" orientation="portrait" r:id="rId1"/>
  <ignoredErrors>
    <ignoredError sqref="D33 D29" evalError="1"/>
  </ignoredError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S208"/>
  <sheetViews>
    <sheetView zoomScale="90" zoomScaleNormal="90" workbookViewId="0">
      <pane ySplit="2" topLeftCell="A3" activePane="bottomLeft" state="frozen"/>
      <selection activeCell="M4" sqref="M4"/>
      <selection pane="bottomLeft" activeCell="B3" sqref="B3"/>
    </sheetView>
  </sheetViews>
  <sheetFormatPr defaultColWidth="9.140625" defaultRowHeight="12.75" x14ac:dyDescent="0.2"/>
  <cols>
    <col min="1" max="1" width="3.42578125" style="149" customWidth="1"/>
    <col min="2" max="2" width="4.7109375" style="149" customWidth="1"/>
    <col min="3" max="3" width="38.85546875" style="149" customWidth="1"/>
    <col min="4" max="4" width="22.85546875" style="149" customWidth="1"/>
    <col min="5" max="5" width="28.85546875" style="149" customWidth="1"/>
    <col min="6" max="7" width="15.140625" style="149" customWidth="1"/>
    <col min="8" max="8" width="19.28515625" style="149" customWidth="1"/>
    <col min="9" max="16384" width="9.140625" style="117"/>
  </cols>
  <sheetData>
    <row r="1" spans="1:13" x14ac:dyDescent="0.2">
      <c r="A1" s="117"/>
      <c r="B1" s="117"/>
      <c r="C1" s="117"/>
      <c r="D1" s="117"/>
      <c r="E1" s="117"/>
      <c r="F1" s="117"/>
      <c r="G1" s="117"/>
      <c r="H1" s="117"/>
    </row>
    <row r="2" spans="1:13" ht="36" customHeight="1" x14ac:dyDescent="0.2">
      <c r="A2" s="117"/>
      <c r="B2" s="534" t="s">
        <v>1025</v>
      </c>
      <c r="C2" s="534"/>
      <c r="D2" s="534"/>
      <c r="E2" s="534"/>
      <c r="F2" s="534"/>
      <c r="G2" s="534"/>
      <c r="H2" s="534"/>
    </row>
    <row r="3" spans="1:13" ht="15" customHeight="1" x14ac:dyDescent="0.2">
      <c r="A3" s="117"/>
      <c r="B3" s="117"/>
      <c r="C3" s="117"/>
      <c r="D3" s="117"/>
      <c r="E3" s="117"/>
      <c r="F3" s="117"/>
      <c r="G3" s="117"/>
      <c r="H3" s="117"/>
    </row>
    <row r="4" spans="1:13" ht="24.95" customHeight="1" x14ac:dyDescent="0.2">
      <c r="A4" s="113"/>
      <c r="B4" s="516" t="s">
        <v>653</v>
      </c>
      <c r="C4" s="534"/>
      <c r="D4" s="534"/>
      <c r="E4" s="534"/>
      <c r="F4" s="534"/>
      <c r="G4" s="534"/>
      <c r="H4" s="534"/>
      <c r="J4" s="499" t="s">
        <v>672</v>
      </c>
      <c r="K4" s="499"/>
    </row>
    <row r="5" spans="1:13" ht="15" customHeight="1" x14ac:dyDescent="0.2">
      <c r="A5" s="113"/>
      <c r="B5" s="320"/>
      <c r="C5" s="320"/>
      <c r="D5" s="320"/>
      <c r="E5" s="113"/>
      <c r="F5" s="113"/>
      <c r="G5" s="113"/>
      <c r="H5" s="113"/>
      <c r="I5" s="113"/>
      <c r="J5" s="500"/>
      <c r="K5" s="501" t="s">
        <v>673</v>
      </c>
    </row>
    <row r="6" spans="1:13" ht="15" customHeight="1" x14ac:dyDescent="0.2">
      <c r="A6" s="113"/>
      <c r="B6" s="682" t="s">
        <v>675</v>
      </c>
      <c r="C6" s="683"/>
      <c r="D6" s="677"/>
      <c r="E6" s="678"/>
      <c r="F6" s="678"/>
      <c r="G6" s="678"/>
      <c r="H6" s="679"/>
      <c r="I6" s="113"/>
      <c r="J6" s="359"/>
      <c r="K6" s="501" t="s">
        <v>674</v>
      </c>
      <c r="L6" s="499"/>
      <c r="M6" s="499"/>
    </row>
    <row r="7" spans="1:13" ht="15" customHeight="1" x14ac:dyDescent="0.2">
      <c r="A7" s="113"/>
      <c r="B7" s="113"/>
      <c r="C7" s="113"/>
      <c r="D7" s="113"/>
      <c r="E7" s="113"/>
      <c r="F7" s="113"/>
      <c r="G7" s="113"/>
      <c r="H7" s="113"/>
      <c r="I7" s="113"/>
      <c r="L7" s="113"/>
      <c r="M7" s="113"/>
    </row>
    <row r="8" spans="1:13" ht="15" customHeight="1" x14ac:dyDescent="0.2">
      <c r="A8" s="113"/>
      <c r="B8" s="682" t="s">
        <v>676</v>
      </c>
      <c r="C8" s="683"/>
      <c r="D8" s="677"/>
      <c r="E8" s="678"/>
      <c r="F8" s="678"/>
      <c r="G8" s="678"/>
      <c r="H8" s="679"/>
      <c r="I8" s="113"/>
    </row>
    <row r="9" spans="1:13" ht="24.95" customHeight="1" x14ac:dyDescent="0.2">
      <c r="A9" s="117"/>
      <c r="B9" s="117"/>
      <c r="C9" s="117"/>
      <c r="D9" s="117"/>
      <c r="E9" s="117"/>
      <c r="F9" s="117"/>
      <c r="G9" s="117"/>
      <c r="H9" s="117"/>
    </row>
    <row r="10" spans="1:13" ht="24.95" customHeight="1" x14ac:dyDescent="0.2">
      <c r="A10" s="117"/>
      <c r="B10" s="516" t="s">
        <v>279</v>
      </c>
      <c r="C10" s="516"/>
      <c r="D10" s="516"/>
      <c r="E10" s="516"/>
      <c r="F10" s="516"/>
      <c r="G10" s="516"/>
      <c r="H10" s="516"/>
    </row>
    <row r="11" spans="1:13" ht="24.95" customHeight="1" x14ac:dyDescent="0.2">
      <c r="A11" s="117"/>
      <c r="B11" s="117"/>
      <c r="C11" s="117"/>
      <c r="D11" s="117"/>
      <c r="E11" s="117"/>
      <c r="F11" s="117"/>
      <c r="G11" s="117"/>
      <c r="H11" s="117"/>
    </row>
    <row r="12" spans="1:13" ht="28.5" customHeight="1" x14ac:dyDescent="0.2">
      <c r="A12" s="117"/>
      <c r="B12" s="627" t="s">
        <v>797</v>
      </c>
      <c r="C12" s="628"/>
      <c r="D12" s="629"/>
      <c r="E12" s="538" t="s">
        <v>950</v>
      </c>
      <c r="F12" s="538" t="s">
        <v>798</v>
      </c>
      <c r="G12" s="538"/>
      <c r="H12" s="538" t="s">
        <v>799</v>
      </c>
    </row>
    <row r="13" spans="1:13" ht="15" customHeight="1" x14ac:dyDescent="0.2">
      <c r="A13" s="117"/>
      <c r="B13" s="358">
        <v>1</v>
      </c>
      <c r="C13" s="680"/>
      <c r="D13" s="681"/>
      <c r="E13" s="264"/>
      <c r="F13" s="497"/>
      <c r="G13" s="496"/>
      <c r="H13" s="121">
        <f>E13*F13</f>
        <v>0</v>
      </c>
    </row>
    <row r="14" spans="1:13" ht="15" customHeight="1" x14ac:dyDescent="0.2">
      <c r="A14" s="117"/>
      <c r="B14" s="358">
        <v>2</v>
      </c>
      <c r="C14" s="680"/>
      <c r="D14" s="681"/>
      <c r="E14" s="264"/>
      <c r="F14" s="497"/>
      <c r="G14" s="496"/>
      <c r="H14" s="121">
        <f>E14*F14</f>
        <v>0</v>
      </c>
    </row>
    <row r="15" spans="1:13" ht="15" customHeight="1" x14ac:dyDescent="0.2">
      <c r="A15" s="117"/>
      <c r="B15" s="358">
        <v>3</v>
      </c>
      <c r="C15" s="680"/>
      <c r="D15" s="681"/>
      <c r="E15" s="264"/>
      <c r="F15" s="497"/>
      <c r="G15" s="496"/>
      <c r="H15" s="121">
        <f>E15*F15</f>
        <v>0</v>
      </c>
    </row>
    <row r="16" spans="1:13" ht="15" customHeight="1" x14ac:dyDescent="0.2">
      <c r="A16" s="117"/>
      <c r="B16" s="358">
        <v>4</v>
      </c>
      <c r="C16" s="680"/>
      <c r="D16" s="681"/>
      <c r="E16" s="264"/>
      <c r="F16" s="497"/>
      <c r="G16" s="496"/>
      <c r="H16" s="121">
        <f>E16*F16</f>
        <v>0</v>
      </c>
    </row>
    <row r="17" spans="1:9" ht="15" customHeight="1" x14ac:dyDescent="0.2">
      <c r="A17" s="117"/>
      <c r="B17" s="358">
        <v>5</v>
      </c>
      <c r="C17" s="680"/>
      <c r="D17" s="681"/>
      <c r="E17" s="264"/>
      <c r="F17" s="497"/>
      <c r="G17" s="496"/>
      <c r="H17" s="121">
        <f>E17*F17</f>
        <v>0</v>
      </c>
    </row>
    <row r="18" spans="1:9" x14ac:dyDescent="0.2">
      <c r="A18" s="117"/>
      <c r="B18" s="117"/>
      <c r="C18" s="117"/>
      <c r="D18" s="117"/>
      <c r="E18" s="332" t="s">
        <v>5</v>
      </c>
      <c r="F18" s="116">
        <f>SUM(F13:F17)</f>
        <v>0</v>
      </c>
      <c r="G18" s="116"/>
      <c r="H18" s="121">
        <f>SUM(H13:H17)</f>
        <v>0</v>
      </c>
    </row>
    <row r="19" spans="1:9" x14ac:dyDescent="0.2">
      <c r="A19" s="117"/>
      <c r="B19" s="117"/>
      <c r="C19" s="117"/>
      <c r="D19" s="117"/>
      <c r="E19" s="117"/>
      <c r="F19" s="117"/>
      <c r="G19" s="117"/>
      <c r="H19" s="117"/>
    </row>
    <row r="20" spans="1:9" ht="19.5" customHeight="1" x14ac:dyDescent="0.2">
      <c r="A20" s="117"/>
      <c r="B20" s="117"/>
      <c r="C20" s="117"/>
      <c r="D20" s="117"/>
      <c r="E20" s="117"/>
      <c r="F20" s="495" t="s">
        <v>949</v>
      </c>
      <c r="G20" s="495"/>
      <c r="H20" s="121" t="str">
        <f>IF(ISERROR(H18/F18),"",H18/F18)</f>
        <v/>
      </c>
      <c r="I20" s="494" t="str">
        <f>IF(F18=0,"","Enter this average component consumption figure in to the relevant component specification of the water consumption calculator")</f>
        <v/>
      </c>
    </row>
    <row r="21" spans="1:9" ht="24.95" customHeight="1" x14ac:dyDescent="0.2">
      <c r="A21" s="117"/>
      <c r="B21" s="117"/>
      <c r="C21" s="117"/>
      <c r="D21" s="117"/>
      <c r="E21" s="117"/>
      <c r="F21" s="117"/>
      <c r="G21" s="117"/>
      <c r="H21" s="117"/>
    </row>
    <row r="22" spans="1:9" ht="24.95" customHeight="1" x14ac:dyDescent="0.2">
      <c r="A22" s="117"/>
      <c r="B22" s="516" t="s">
        <v>277</v>
      </c>
      <c r="C22" s="516"/>
      <c r="D22" s="516"/>
      <c r="E22" s="516"/>
      <c r="F22" s="516"/>
      <c r="G22" s="516"/>
      <c r="H22" s="516"/>
    </row>
    <row r="23" spans="1:9" ht="24.95" customHeight="1" x14ac:dyDescent="0.2">
      <c r="A23" s="117"/>
      <c r="B23" s="117" t="s">
        <v>948</v>
      </c>
      <c r="C23" s="117"/>
      <c r="D23" s="117"/>
      <c r="E23" s="117"/>
      <c r="F23" s="117"/>
      <c r="G23" s="117"/>
      <c r="H23" s="117"/>
    </row>
    <row r="24" spans="1:9" ht="28.5" customHeight="1" x14ac:dyDescent="0.2">
      <c r="A24" s="117"/>
      <c r="B24" s="627" t="s">
        <v>942</v>
      </c>
      <c r="C24" s="629"/>
      <c r="D24" s="538" t="s">
        <v>947</v>
      </c>
      <c r="E24" s="538" t="s">
        <v>946</v>
      </c>
      <c r="F24" s="538" t="s">
        <v>798</v>
      </c>
      <c r="G24" s="538"/>
      <c r="H24" s="538" t="s">
        <v>799</v>
      </c>
    </row>
    <row r="25" spans="1:9" ht="15" customHeight="1" x14ac:dyDescent="0.2">
      <c r="A25" s="117"/>
      <c r="B25" s="358">
        <v>1</v>
      </c>
      <c r="C25" s="352"/>
      <c r="D25" s="264"/>
      <c r="E25" s="497"/>
      <c r="F25" s="497"/>
      <c r="G25" s="496">
        <f>E25*F25</f>
        <v>0</v>
      </c>
      <c r="H25" s="121">
        <f>D25*F25</f>
        <v>0</v>
      </c>
    </row>
    <row r="26" spans="1:9" ht="15" customHeight="1" x14ac:dyDescent="0.2">
      <c r="A26" s="117"/>
      <c r="B26" s="358">
        <v>2</v>
      </c>
      <c r="C26" s="352"/>
      <c r="D26" s="264"/>
      <c r="E26" s="497"/>
      <c r="F26" s="497"/>
      <c r="G26" s="496">
        <f>E26*F26</f>
        <v>0</v>
      </c>
      <c r="H26" s="121">
        <f>D26*F26</f>
        <v>0</v>
      </c>
    </row>
    <row r="27" spans="1:9" ht="15" customHeight="1" x14ac:dyDescent="0.2">
      <c r="A27" s="117"/>
      <c r="B27" s="358">
        <v>3</v>
      </c>
      <c r="C27" s="352"/>
      <c r="D27" s="352"/>
      <c r="E27" s="264"/>
      <c r="F27" s="497"/>
      <c r="G27" s="496">
        <f>E27*F27</f>
        <v>0</v>
      </c>
      <c r="H27" s="121">
        <f>D27*F27</f>
        <v>0</v>
      </c>
    </row>
    <row r="28" spans="1:9" ht="15" customHeight="1" x14ac:dyDescent="0.2">
      <c r="A28" s="117"/>
      <c r="B28" s="358">
        <v>4</v>
      </c>
      <c r="C28" s="352"/>
      <c r="D28" s="352"/>
      <c r="E28" s="264"/>
      <c r="F28" s="497"/>
      <c r="G28" s="496">
        <f>E28*F28</f>
        <v>0</v>
      </c>
      <c r="H28" s="121">
        <f>D28*F28</f>
        <v>0</v>
      </c>
    </row>
    <row r="29" spans="1:9" ht="15" customHeight="1" x14ac:dyDescent="0.2">
      <c r="A29" s="117"/>
      <c r="B29" s="358">
        <v>5</v>
      </c>
      <c r="C29" s="352"/>
      <c r="D29" s="352"/>
      <c r="E29" s="264"/>
      <c r="F29" s="497"/>
      <c r="G29" s="496">
        <f>E29*F29</f>
        <v>0</v>
      </c>
      <c r="H29" s="121">
        <f>D29*F29</f>
        <v>0</v>
      </c>
    </row>
    <row r="30" spans="1:9" x14ac:dyDescent="0.2">
      <c r="A30" s="117"/>
      <c r="B30" s="117"/>
      <c r="C30" s="117"/>
      <c r="D30" s="117"/>
      <c r="E30" s="117"/>
      <c r="F30" s="117"/>
      <c r="G30" s="121">
        <f>SUM(G25:G29)</f>
        <v>0</v>
      </c>
      <c r="H30" s="121">
        <f>SUM(H25:H29)</f>
        <v>0</v>
      </c>
    </row>
    <row r="31" spans="1:9" x14ac:dyDescent="0.2">
      <c r="A31" s="117"/>
      <c r="B31" s="117"/>
      <c r="C31" s="117"/>
      <c r="D31" s="117"/>
      <c r="E31" s="117"/>
      <c r="F31" s="117"/>
      <c r="G31" s="117"/>
      <c r="H31" s="117"/>
    </row>
    <row r="32" spans="1:9" ht="19.5" customHeight="1" x14ac:dyDescent="0.2">
      <c r="A32" s="117"/>
      <c r="B32" s="117"/>
      <c r="C32" s="117"/>
      <c r="D32" s="117"/>
      <c r="E32" s="117"/>
      <c r="F32" s="495" t="s">
        <v>945</v>
      </c>
      <c r="G32" s="495"/>
      <c r="H32" s="121" t="str">
        <f>IF(ISERROR(H30/H33),"",H30/H33)</f>
        <v/>
      </c>
      <c r="I32" s="494" t="str">
        <f>IF(H33=0,"","Enter this average component consumption figure in to the relevant component specification of the water consumption calculator")</f>
        <v/>
      </c>
    </row>
    <row r="33" spans="1:9" ht="19.5" customHeight="1" x14ac:dyDescent="0.2">
      <c r="A33" s="117"/>
      <c r="B33" s="117"/>
      <c r="C33" s="117"/>
      <c r="D33" s="117"/>
      <c r="E33" s="117"/>
      <c r="F33" s="495" t="s">
        <v>615</v>
      </c>
      <c r="G33" s="495"/>
      <c r="H33" s="116">
        <f>SUM(F25:F29)</f>
        <v>0</v>
      </c>
      <c r="I33" s="494" t="str">
        <f>IF(H33=0,"","Enter this figure in to the 'No. of cisterns' cell in of the water consumption calculator")</f>
        <v/>
      </c>
    </row>
    <row r="34" spans="1:9" ht="19.5" customHeight="1" x14ac:dyDescent="0.2">
      <c r="A34" s="117"/>
      <c r="B34" s="117"/>
      <c r="C34" s="117"/>
      <c r="D34" s="117"/>
      <c r="E34" s="117"/>
      <c r="F34" s="495" t="s">
        <v>944</v>
      </c>
      <c r="G34" s="495"/>
      <c r="H34" s="121" t="str">
        <f>IF(ISERROR(G30/H33),"",G30/H33)</f>
        <v/>
      </c>
      <c r="I34" s="494" t="str">
        <f>IF(H33=0,"","Enter this figure in to the 'flushing frequency/hour' cell in of the water consumption calculator")</f>
        <v/>
      </c>
    </row>
    <row r="35" spans="1:9" ht="19.5" customHeight="1" x14ac:dyDescent="0.2">
      <c r="A35" s="117"/>
      <c r="B35" s="117"/>
      <c r="C35" s="117"/>
      <c r="D35" s="117"/>
      <c r="E35" s="117"/>
      <c r="F35" s="495"/>
      <c r="G35" s="495"/>
      <c r="H35" s="495"/>
      <c r="I35" s="494"/>
    </row>
    <row r="36" spans="1:9" ht="24.95" customHeight="1" x14ac:dyDescent="0.2">
      <c r="A36" s="117"/>
      <c r="B36" s="117" t="s">
        <v>943</v>
      </c>
      <c r="C36" s="117"/>
      <c r="D36" s="117"/>
      <c r="E36" s="117"/>
      <c r="F36" s="117"/>
      <c r="G36" s="117"/>
      <c r="H36" s="117"/>
    </row>
    <row r="37" spans="1:9" ht="28.5" customHeight="1" x14ac:dyDescent="0.2">
      <c r="A37" s="117"/>
      <c r="B37" s="627" t="s">
        <v>942</v>
      </c>
      <c r="C37" s="628"/>
      <c r="D37" s="629"/>
      <c r="E37" s="538" t="s">
        <v>941</v>
      </c>
      <c r="F37" s="538" t="s">
        <v>798</v>
      </c>
      <c r="G37" s="538"/>
      <c r="H37" s="538" t="s">
        <v>799</v>
      </c>
    </row>
    <row r="38" spans="1:9" ht="15" customHeight="1" x14ac:dyDescent="0.2">
      <c r="A38" s="117"/>
      <c r="B38" s="358">
        <v>1</v>
      </c>
      <c r="C38" s="680"/>
      <c r="D38" s="681"/>
      <c r="E38" s="264"/>
      <c r="F38" s="497"/>
      <c r="G38" s="496"/>
      <c r="H38" s="121">
        <f>E38*F38</f>
        <v>0</v>
      </c>
    </row>
    <row r="39" spans="1:9" ht="15" customHeight="1" x14ac:dyDescent="0.2">
      <c r="A39" s="117"/>
      <c r="B39" s="358">
        <v>2</v>
      </c>
      <c r="C39" s="680"/>
      <c r="D39" s="681"/>
      <c r="E39" s="264"/>
      <c r="F39" s="497"/>
      <c r="G39" s="496"/>
      <c r="H39" s="121">
        <f>E39*F39</f>
        <v>0</v>
      </c>
    </row>
    <row r="40" spans="1:9" ht="15" customHeight="1" x14ac:dyDescent="0.2">
      <c r="A40" s="117"/>
      <c r="B40" s="358">
        <v>3</v>
      </c>
      <c r="C40" s="680"/>
      <c r="D40" s="681"/>
      <c r="E40" s="264"/>
      <c r="F40" s="497"/>
      <c r="G40" s="496"/>
      <c r="H40" s="121">
        <f>E40*F40</f>
        <v>0</v>
      </c>
    </row>
    <row r="41" spans="1:9" ht="15" customHeight="1" x14ac:dyDescent="0.2">
      <c r="A41" s="117"/>
      <c r="B41" s="358">
        <v>4</v>
      </c>
      <c r="C41" s="680"/>
      <c r="D41" s="681"/>
      <c r="E41" s="264"/>
      <c r="F41" s="497"/>
      <c r="G41" s="496"/>
      <c r="H41" s="121">
        <f>E41*F41</f>
        <v>0</v>
      </c>
    </row>
    <row r="42" spans="1:9" ht="15" customHeight="1" x14ac:dyDescent="0.2">
      <c r="A42" s="117"/>
      <c r="B42" s="358">
        <v>5</v>
      </c>
      <c r="C42" s="680"/>
      <c r="D42" s="681"/>
      <c r="E42" s="264"/>
      <c r="F42" s="497"/>
      <c r="G42" s="496"/>
      <c r="H42" s="121">
        <f>E42*F42</f>
        <v>0</v>
      </c>
    </row>
    <row r="43" spans="1:9" x14ac:dyDescent="0.2">
      <c r="A43" s="117"/>
      <c r="B43" s="117"/>
      <c r="C43" s="117"/>
      <c r="D43" s="117"/>
      <c r="E43" s="332" t="s">
        <v>5</v>
      </c>
      <c r="F43" s="116">
        <f>SUM(F38:F42)</f>
        <v>0</v>
      </c>
      <c r="G43" s="116"/>
      <c r="H43" s="121">
        <f>SUM(H38:H42)</f>
        <v>0</v>
      </c>
    </row>
    <row r="44" spans="1:9" x14ac:dyDescent="0.2">
      <c r="A44" s="117"/>
      <c r="B44" s="117"/>
      <c r="C44" s="117"/>
      <c r="D44" s="117"/>
      <c r="E44" s="117"/>
      <c r="F44" s="117"/>
      <c r="G44" s="117"/>
      <c r="H44" s="117"/>
    </row>
    <row r="45" spans="1:9" ht="19.5" customHeight="1" x14ac:dyDescent="0.2">
      <c r="A45" s="117"/>
      <c r="B45" s="117"/>
      <c r="C45" s="117"/>
      <c r="D45" s="117"/>
      <c r="E45" s="117"/>
      <c r="F45" s="495" t="s">
        <v>940</v>
      </c>
      <c r="G45" s="495"/>
      <c r="H45" s="121" t="str">
        <f>IF(ISERROR(H43/F43),"",H43/F43)</f>
        <v/>
      </c>
      <c r="I45" s="494" t="str">
        <f>IF(F43=0,"","Enter this average component consumption figure in to the relevant component specification of the water consumption calculator")</f>
        <v/>
      </c>
    </row>
    <row r="46" spans="1:9" ht="19.5" customHeight="1" x14ac:dyDescent="0.2">
      <c r="A46" s="117"/>
      <c r="B46" s="117"/>
      <c r="C46" s="117"/>
      <c r="D46" s="117"/>
      <c r="E46" s="117"/>
      <c r="F46" s="495"/>
      <c r="G46" s="495"/>
      <c r="H46" s="495"/>
      <c r="I46" s="494"/>
    </row>
    <row r="47" spans="1:9" ht="24.95" customHeight="1" x14ac:dyDescent="0.2">
      <c r="A47" s="117"/>
      <c r="B47" s="516" t="s">
        <v>939</v>
      </c>
      <c r="C47" s="516"/>
      <c r="D47" s="516"/>
      <c r="E47" s="516"/>
      <c r="F47" s="516"/>
      <c r="G47" s="516"/>
      <c r="H47" s="516"/>
    </row>
    <row r="48" spans="1:9" ht="24.95" customHeight="1" x14ac:dyDescent="0.2">
      <c r="A48" s="117"/>
      <c r="B48" s="117"/>
      <c r="C48" s="117"/>
      <c r="D48" s="117"/>
      <c r="E48" s="117"/>
      <c r="F48" s="117"/>
      <c r="G48" s="117"/>
      <c r="H48" s="117"/>
    </row>
    <row r="49" spans="1:19" ht="28.5" customHeight="1" x14ac:dyDescent="0.2">
      <c r="A49" s="117"/>
      <c r="B49" s="627" t="s">
        <v>937</v>
      </c>
      <c r="C49" s="628"/>
      <c r="D49" s="629"/>
      <c r="E49" s="538" t="s">
        <v>935</v>
      </c>
      <c r="F49" s="538" t="s">
        <v>798</v>
      </c>
      <c r="G49" s="538"/>
      <c r="H49" s="538" t="s">
        <v>799</v>
      </c>
      <c r="I49" s="355"/>
      <c r="J49" s="498"/>
      <c r="K49" s="498"/>
      <c r="L49" s="498"/>
      <c r="M49" s="498"/>
      <c r="N49" s="498"/>
      <c r="O49" s="498"/>
      <c r="P49" s="498"/>
      <c r="Q49" s="498"/>
      <c r="R49" s="498"/>
      <c r="S49" s="498"/>
    </row>
    <row r="50" spans="1:19" ht="15" customHeight="1" x14ac:dyDescent="0.2">
      <c r="A50" s="117"/>
      <c r="B50" s="358">
        <v>1</v>
      </c>
      <c r="C50" s="680"/>
      <c r="D50" s="681"/>
      <c r="E50" s="264"/>
      <c r="F50" s="497"/>
      <c r="G50" s="496"/>
      <c r="H50" s="121">
        <f>E50*F50</f>
        <v>0</v>
      </c>
      <c r="I50" s="355"/>
      <c r="J50" s="498"/>
      <c r="K50" s="498"/>
      <c r="L50" s="498"/>
      <c r="M50" s="498"/>
      <c r="N50" s="498"/>
      <c r="O50" s="498"/>
      <c r="P50" s="498"/>
      <c r="Q50" s="498"/>
      <c r="R50" s="498"/>
      <c r="S50" s="498"/>
    </row>
    <row r="51" spans="1:19" ht="15" customHeight="1" x14ac:dyDescent="0.2">
      <c r="A51" s="117"/>
      <c r="B51" s="358">
        <v>2</v>
      </c>
      <c r="C51" s="680"/>
      <c r="D51" s="681"/>
      <c r="E51" s="264"/>
      <c r="F51" s="497"/>
      <c r="G51" s="496"/>
      <c r="H51" s="121">
        <f>E51*F51</f>
        <v>0</v>
      </c>
      <c r="I51" s="355"/>
      <c r="J51" s="498"/>
      <c r="K51" s="498"/>
      <c r="L51" s="498"/>
      <c r="M51" s="498"/>
      <c r="N51" s="498"/>
      <c r="O51" s="498"/>
      <c r="P51" s="498"/>
      <c r="Q51" s="498"/>
      <c r="R51" s="498"/>
      <c r="S51" s="498"/>
    </row>
    <row r="52" spans="1:19" ht="15" customHeight="1" x14ac:dyDescent="0.2">
      <c r="A52" s="117"/>
      <c r="B52" s="358">
        <v>3</v>
      </c>
      <c r="C52" s="680"/>
      <c r="D52" s="681"/>
      <c r="E52" s="264"/>
      <c r="F52" s="497"/>
      <c r="G52" s="496"/>
      <c r="H52" s="121">
        <f>E52*F52</f>
        <v>0</v>
      </c>
      <c r="I52" s="355"/>
      <c r="J52" s="498"/>
      <c r="K52" s="498"/>
      <c r="L52" s="498"/>
      <c r="M52" s="498"/>
      <c r="N52" s="498"/>
      <c r="O52" s="498"/>
      <c r="P52" s="498"/>
      <c r="Q52" s="498"/>
      <c r="R52" s="498"/>
      <c r="S52" s="498"/>
    </row>
    <row r="53" spans="1:19" ht="15" customHeight="1" x14ac:dyDescent="0.2">
      <c r="A53" s="117"/>
      <c r="B53" s="358">
        <v>4</v>
      </c>
      <c r="C53" s="680"/>
      <c r="D53" s="681"/>
      <c r="E53" s="264"/>
      <c r="F53" s="497"/>
      <c r="G53" s="496"/>
      <c r="H53" s="121">
        <f>E53*F53</f>
        <v>0</v>
      </c>
    </row>
    <row r="54" spans="1:19" ht="15" customHeight="1" x14ac:dyDescent="0.2">
      <c r="A54" s="117"/>
      <c r="B54" s="358">
        <v>5</v>
      </c>
      <c r="C54" s="680"/>
      <c r="D54" s="681"/>
      <c r="E54" s="264"/>
      <c r="F54" s="497"/>
      <c r="G54" s="496"/>
      <c r="H54" s="121">
        <f>E54*F54</f>
        <v>0</v>
      </c>
    </row>
    <row r="55" spans="1:19" x14ac:dyDescent="0.2">
      <c r="A55" s="117"/>
      <c r="B55" s="117"/>
      <c r="C55" s="117"/>
      <c r="D55" s="117"/>
      <c r="E55" s="332" t="s">
        <v>5</v>
      </c>
      <c r="F55" s="116">
        <f>SUM(F50:F54)</f>
        <v>0</v>
      </c>
      <c r="G55" s="116"/>
      <c r="H55" s="121">
        <f>SUM(H50:H54)</f>
        <v>0</v>
      </c>
    </row>
    <row r="56" spans="1:19" x14ac:dyDescent="0.2">
      <c r="A56" s="117"/>
      <c r="B56" s="117"/>
      <c r="C56" s="117"/>
      <c r="D56" s="117"/>
      <c r="E56" s="117"/>
      <c r="F56" s="117"/>
      <c r="G56" s="117"/>
      <c r="H56" s="117"/>
    </row>
    <row r="57" spans="1:19" ht="19.5" customHeight="1" x14ac:dyDescent="0.2">
      <c r="A57" s="117"/>
      <c r="B57" s="117"/>
      <c r="C57" s="117"/>
      <c r="D57" s="117"/>
      <c r="E57" s="117"/>
      <c r="F57" s="495" t="s">
        <v>934</v>
      </c>
      <c r="G57" s="495"/>
      <c r="H57" s="121" t="str">
        <f>IF(ISERROR(H55/F55),"",H55/F55)</f>
        <v/>
      </c>
      <c r="I57" s="494" t="str">
        <f>IF(F55=0,"",IF(H57&gt;H59,"Enter this average component consumption figure in to the relevant component specification of the water consumption calculator",""))</f>
        <v/>
      </c>
    </row>
    <row r="58" spans="1:19" x14ac:dyDescent="0.2">
      <c r="A58" s="117"/>
      <c r="B58" s="117"/>
      <c r="C58" s="117"/>
      <c r="D58" s="117"/>
      <c r="E58" s="117"/>
      <c r="F58" s="117"/>
      <c r="G58" s="117"/>
      <c r="H58" s="117"/>
    </row>
    <row r="59" spans="1:19" ht="19.5" customHeight="1" x14ac:dyDescent="0.2">
      <c r="A59" s="117"/>
      <c r="B59" s="117"/>
      <c r="C59" s="117"/>
      <c r="D59" s="117"/>
      <c r="E59" s="117"/>
      <c r="F59" s="299" t="s">
        <v>933</v>
      </c>
      <c r="G59" s="299"/>
      <c r="H59" s="121">
        <f>MAX(E50:E54)*0.7</f>
        <v>0</v>
      </c>
      <c r="I59" s="494" t="str">
        <f>IF(F55=0,"",IF(H59&gt;H57,"Enter this average component consumption figure in to the relevant component specification of the water consumption calculator",""))</f>
        <v/>
      </c>
    </row>
    <row r="60" spans="1:19" ht="24.95" customHeight="1" x14ac:dyDescent="0.2">
      <c r="A60" s="117"/>
      <c r="B60" s="117"/>
      <c r="C60" s="117"/>
      <c r="D60" s="117"/>
      <c r="E60" s="117"/>
      <c r="F60" s="117"/>
      <c r="G60" s="117"/>
      <c r="H60" s="117"/>
    </row>
    <row r="61" spans="1:19" ht="24.95" customHeight="1" x14ac:dyDescent="0.2">
      <c r="A61" s="117"/>
      <c r="B61" s="516" t="s">
        <v>938</v>
      </c>
      <c r="C61" s="516"/>
      <c r="D61" s="516"/>
      <c r="E61" s="516"/>
      <c r="F61" s="516"/>
      <c r="G61" s="516"/>
      <c r="H61" s="516"/>
    </row>
    <row r="62" spans="1:19" ht="24.95" customHeight="1" x14ac:dyDescent="0.2">
      <c r="A62" s="117"/>
      <c r="B62" s="117"/>
      <c r="C62" s="117"/>
      <c r="D62" s="117"/>
      <c r="E62" s="117"/>
      <c r="F62" s="117"/>
      <c r="G62" s="117"/>
      <c r="H62" s="117"/>
    </row>
    <row r="63" spans="1:19" ht="28.5" customHeight="1" x14ac:dyDescent="0.2">
      <c r="A63" s="117"/>
      <c r="B63" s="627" t="s">
        <v>937</v>
      </c>
      <c r="C63" s="628"/>
      <c r="D63" s="629"/>
      <c r="E63" s="538" t="s">
        <v>935</v>
      </c>
      <c r="F63" s="538" t="s">
        <v>798</v>
      </c>
      <c r="G63" s="538"/>
      <c r="H63" s="538" t="s">
        <v>799</v>
      </c>
      <c r="I63" s="355"/>
      <c r="J63" s="498"/>
      <c r="K63" s="498"/>
      <c r="L63" s="498"/>
      <c r="M63" s="498"/>
      <c r="N63" s="498"/>
      <c r="O63" s="498"/>
      <c r="P63" s="498"/>
      <c r="Q63" s="498"/>
      <c r="R63" s="498"/>
      <c r="S63" s="498"/>
    </row>
    <row r="64" spans="1:19" ht="15" customHeight="1" x14ac:dyDescent="0.2">
      <c r="A64" s="117"/>
      <c r="B64" s="358">
        <v>1</v>
      </c>
      <c r="C64" s="680"/>
      <c r="D64" s="681"/>
      <c r="E64" s="264"/>
      <c r="F64" s="497"/>
      <c r="G64" s="496"/>
      <c r="H64" s="121">
        <f>E64*F64</f>
        <v>0</v>
      </c>
      <c r="I64" s="355"/>
      <c r="J64" s="498"/>
      <c r="K64" s="498"/>
      <c r="L64" s="498"/>
      <c r="M64" s="498"/>
      <c r="N64" s="498"/>
      <c r="O64" s="498"/>
      <c r="P64" s="498"/>
      <c r="Q64" s="498"/>
      <c r="R64" s="498"/>
      <c r="S64" s="498"/>
    </row>
    <row r="65" spans="1:19" ht="15" customHeight="1" x14ac:dyDescent="0.2">
      <c r="A65" s="117"/>
      <c r="B65" s="358">
        <v>2</v>
      </c>
      <c r="C65" s="680"/>
      <c r="D65" s="681"/>
      <c r="E65" s="264"/>
      <c r="F65" s="497"/>
      <c r="G65" s="496"/>
      <c r="H65" s="121">
        <f>E65*F65</f>
        <v>0</v>
      </c>
      <c r="I65" s="355"/>
      <c r="J65" s="498"/>
      <c r="K65" s="498"/>
      <c r="L65" s="498"/>
      <c r="M65" s="498"/>
      <c r="N65" s="498"/>
      <c r="O65" s="498"/>
      <c r="P65" s="498"/>
      <c r="Q65" s="498"/>
      <c r="R65" s="498"/>
      <c r="S65" s="498"/>
    </row>
    <row r="66" spans="1:19" ht="15" customHeight="1" x14ac:dyDescent="0.2">
      <c r="A66" s="117"/>
      <c r="B66" s="358">
        <v>3</v>
      </c>
      <c r="C66" s="680"/>
      <c r="D66" s="681"/>
      <c r="E66" s="264"/>
      <c r="F66" s="497"/>
      <c r="G66" s="496"/>
      <c r="H66" s="121">
        <f>E66*F66</f>
        <v>0</v>
      </c>
      <c r="I66" s="355"/>
      <c r="J66" s="498"/>
      <c r="K66" s="498"/>
      <c r="L66" s="498"/>
      <c r="M66" s="498"/>
      <c r="N66" s="498"/>
      <c r="O66" s="498"/>
      <c r="P66" s="498"/>
      <c r="Q66" s="498"/>
      <c r="R66" s="498"/>
      <c r="S66" s="498"/>
    </row>
    <row r="67" spans="1:19" ht="15" customHeight="1" x14ac:dyDescent="0.2">
      <c r="A67" s="117"/>
      <c r="B67" s="358">
        <v>4</v>
      </c>
      <c r="C67" s="680"/>
      <c r="D67" s="681"/>
      <c r="E67" s="264"/>
      <c r="F67" s="497"/>
      <c r="G67" s="496"/>
      <c r="H67" s="121">
        <f>E67*F67</f>
        <v>0</v>
      </c>
    </row>
    <row r="68" spans="1:19" ht="15" customHeight="1" x14ac:dyDescent="0.2">
      <c r="A68" s="117"/>
      <c r="B68" s="358">
        <v>5</v>
      </c>
      <c r="C68" s="680"/>
      <c r="D68" s="681"/>
      <c r="E68" s="264"/>
      <c r="F68" s="497"/>
      <c r="G68" s="496"/>
      <c r="H68" s="121">
        <f>E68*F68</f>
        <v>0</v>
      </c>
    </row>
    <row r="69" spans="1:19" x14ac:dyDescent="0.2">
      <c r="A69" s="117"/>
      <c r="B69" s="117"/>
      <c r="C69" s="117"/>
      <c r="D69" s="117"/>
      <c r="E69" s="332" t="s">
        <v>5</v>
      </c>
      <c r="F69" s="116">
        <f>SUM(F64:F68)</f>
        <v>0</v>
      </c>
      <c r="G69" s="116"/>
      <c r="H69" s="121">
        <f>SUM(H64:H68)</f>
        <v>0</v>
      </c>
    </row>
    <row r="70" spans="1:19" x14ac:dyDescent="0.2">
      <c r="A70" s="117"/>
      <c r="B70" s="117"/>
      <c r="C70" s="117"/>
      <c r="D70" s="117"/>
      <c r="E70" s="117"/>
      <c r="F70" s="117"/>
      <c r="G70" s="117"/>
      <c r="H70" s="117"/>
    </row>
    <row r="71" spans="1:19" ht="19.5" customHeight="1" x14ac:dyDescent="0.2">
      <c r="A71" s="117"/>
      <c r="B71" s="117"/>
      <c r="C71" s="117"/>
      <c r="D71" s="117"/>
      <c r="E71" s="117"/>
      <c r="F71" s="495" t="s">
        <v>934</v>
      </c>
      <c r="G71" s="495"/>
      <c r="H71" s="121" t="str">
        <f>IF(ISERROR(H69/F69),"",H69/F69)</f>
        <v/>
      </c>
      <c r="I71" s="494" t="str">
        <f>IF(F69=0,"",IF(H71&gt;H73,"Enter this average component consumption figure in to the relevant component specification of the water consumption calculator",""))</f>
        <v/>
      </c>
    </row>
    <row r="72" spans="1:19" x14ac:dyDescent="0.2">
      <c r="A72" s="117"/>
      <c r="B72" s="117"/>
      <c r="C72" s="117"/>
      <c r="D72" s="117"/>
      <c r="E72" s="117"/>
      <c r="F72" s="117"/>
      <c r="G72" s="117"/>
      <c r="H72" s="117"/>
    </row>
    <row r="73" spans="1:19" ht="19.5" customHeight="1" x14ac:dyDescent="0.2">
      <c r="A73" s="117"/>
      <c r="B73" s="117"/>
      <c r="C73" s="117"/>
      <c r="D73" s="117"/>
      <c r="E73" s="117"/>
      <c r="F73" s="299" t="s">
        <v>933</v>
      </c>
      <c r="G73" s="299"/>
      <c r="H73" s="121">
        <f>MAX(E64:E68)*0.7</f>
        <v>0</v>
      </c>
      <c r="I73" s="494" t="str">
        <f>IF(F69=0,"",IF(H73&gt;H71,"Enter this average component consumption figure in to the relevant component specification of the water consumption calculator",""))</f>
        <v/>
      </c>
    </row>
    <row r="74" spans="1:19" ht="24.95" customHeight="1" x14ac:dyDescent="0.2">
      <c r="A74" s="117"/>
      <c r="B74" s="117"/>
      <c r="C74" s="117"/>
      <c r="D74" s="117"/>
      <c r="E74" s="117"/>
      <c r="F74" s="117"/>
      <c r="G74" s="117"/>
      <c r="H74" s="117"/>
    </row>
    <row r="75" spans="1:19" ht="24.95" customHeight="1" x14ac:dyDescent="0.2">
      <c r="A75" s="117"/>
      <c r="B75" s="516" t="s">
        <v>397</v>
      </c>
      <c r="C75" s="516"/>
      <c r="D75" s="516"/>
      <c r="E75" s="516"/>
      <c r="F75" s="516"/>
      <c r="G75" s="516"/>
      <c r="H75" s="516"/>
    </row>
    <row r="76" spans="1:19" ht="24.95" customHeight="1" x14ac:dyDescent="0.2">
      <c r="A76" s="117"/>
      <c r="B76" s="117"/>
      <c r="C76" s="117"/>
      <c r="D76" s="117"/>
      <c r="E76" s="117"/>
      <c r="F76" s="117"/>
      <c r="G76" s="117"/>
      <c r="H76" s="117"/>
    </row>
    <row r="77" spans="1:19" ht="28.5" customHeight="1" x14ac:dyDescent="0.2">
      <c r="A77" s="117"/>
      <c r="B77" s="627" t="s">
        <v>936</v>
      </c>
      <c r="C77" s="628"/>
      <c r="D77" s="629"/>
      <c r="E77" s="538" t="s">
        <v>935</v>
      </c>
      <c r="F77" s="538" t="s">
        <v>798</v>
      </c>
      <c r="G77" s="538"/>
      <c r="H77" s="538" t="s">
        <v>799</v>
      </c>
      <c r="I77" s="355"/>
      <c r="J77" s="498"/>
      <c r="K77" s="498"/>
      <c r="L77" s="498"/>
      <c r="M77" s="498"/>
      <c r="N77" s="498"/>
      <c r="O77" s="498"/>
      <c r="P77" s="498"/>
      <c r="Q77" s="498"/>
      <c r="R77" s="498"/>
      <c r="S77" s="498"/>
    </row>
    <row r="78" spans="1:19" ht="15" customHeight="1" x14ac:dyDescent="0.2">
      <c r="A78" s="117"/>
      <c r="B78" s="358">
        <v>1</v>
      </c>
      <c r="C78" s="680"/>
      <c r="D78" s="681"/>
      <c r="E78" s="264"/>
      <c r="F78" s="497"/>
      <c r="G78" s="496"/>
      <c r="H78" s="121">
        <f>E78*F78</f>
        <v>0</v>
      </c>
      <c r="I78" s="355"/>
      <c r="J78" s="498"/>
      <c r="K78" s="498"/>
      <c r="L78" s="498"/>
      <c r="M78" s="498"/>
      <c r="N78" s="498"/>
      <c r="O78" s="498"/>
      <c r="P78" s="498"/>
      <c r="Q78" s="498"/>
      <c r="R78" s="498"/>
      <c r="S78" s="498"/>
    </row>
    <row r="79" spans="1:19" ht="15" customHeight="1" x14ac:dyDescent="0.2">
      <c r="A79" s="117"/>
      <c r="B79" s="358">
        <v>2</v>
      </c>
      <c r="C79" s="680"/>
      <c r="D79" s="681"/>
      <c r="E79" s="264"/>
      <c r="F79" s="497"/>
      <c r="G79" s="496"/>
      <c r="H79" s="121">
        <f>E79*F79</f>
        <v>0</v>
      </c>
      <c r="I79" s="355"/>
      <c r="J79" s="498"/>
      <c r="K79" s="498"/>
      <c r="L79" s="498"/>
      <c r="M79" s="498"/>
      <c r="N79" s="498"/>
      <c r="O79" s="498"/>
      <c r="P79" s="498"/>
      <c r="Q79" s="498"/>
      <c r="R79" s="498"/>
      <c r="S79" s="498"/>
    </row>
    <row r="80" spans="1:19" ht="15" customHeight="1" x14ac:dyDescent="0.2">
      <c r="A80" s="117"/>
      <c r="B80" s="358">
        <v>3</v>
      </c>
      <c r="C80" s="680"/>
      <c r="D80" s="681"/>
      <c r="E80" s="264"/>
      <c r="F80" s="497"/>
      <c r="G80" s="496"/>
      <c r="H80" s="121">
        <f>E80*F80</f>
        <v>0</v>
      </c>
      <c r="I80" s="355"/>
      <c r="J80" s="498"/>
      <c r="K80" s="498"/>
      <c r="L80" s="498"/>
      <c r="M80" s="498"/>
      <c r="N80" s="498"/>
      <c r="O80" s="498"/>
      <c r="P80" s="498"/>
      <c r="Q80" s="498"/>
      <c r="R80" s="498"/>
      <c r="S80" s="498"/>
    </row>
    <row r="81" spans="1:19" ht="15" customHeight="1" x14ac:dyDescent="0.2">
      <c r="A81" s="117"/>
      <c r="B81" s="358">
        <v>4</v>
      </c>
      <c r="C81" s="680"/>
      <c r="D81" s="681"/>
      <c r="E81" s="264"/>
      <c r="F81" s="497"/>
      <c r="G81" s="496"/>
      <c r="H81" s="121">
        <f>E81*F81</f>
        <v>0</v>
      </c>
    </row>
    <row r="82" spans="1:19" ht="15" customHeight="1" x14ac:dyDescent="0.2">
      <c r="A82" s="117"/>
      <c r="B82" s="358">
        <v>5</v>
      </c>
      <c r="C82" s="680"/>
      <c r="D82" s="681"/>
      <c r="E82" s="264"/>
      <c r="F82" s="497"/>
      <c r="G82" s="496"/>
      <c r="H82" s="121">
        <f>E82*F82</f>
        <v>0</v>
      </c>
    </row>
    <row r="83" spans="1:19" x14ac:dyDescent="0.2">
      <c r="A83" s="117"/>
      <c r="B83" s="117"/>
      <c r="C83" s="117"/>
      <c r="D83" s="117"/>
      <c r="E83" s="332" t="s">
        <v>5</v>
      </c>
      <c r="F83" s="116">
        <f>SUM(F78:F82)</f>
        <v>0</v>
      </c>
      <c r="G83" s="116"/>
      <c r="H83" s="121">
        <f>SUM(H78:H82)</f>
        <v>0</v>
      </c>
    </row>
    <row r="84" spans="1:19" x14ac:dyDescent="0.2">
      <c r="A84" s="117"/>
      <c r="B84" s="117"/>
      <c r="C84" s="117"/>
      <c r="D84" s="117"/>
      <c r="E84" s="117"/>
      <c r="F84" s="117"/>
      <c r="G84" s="117"/>
      <c r="H84" s="117"/>
    </row>
    <row r="85" spans="1:19" ht="19.5" customHeight="1" x14ac:dyDescent="0.2">
      <c r="A85" s="117"/>
      <c r="B85" s="117"/>
      <c r="C85" s="117"/>
      <c r="D85" s="117"/>
      <c r="E85" s="117"/>
      <c r="F85" s="495" t="s">
        <v>934</v>
      </c>
      <c r="G85" s="495"/>
      <c r="H85" s="121" t="str">
        <f>IF(ISERROR(H83/F83),"",H83/F83)</f>
        <v/>
      </c>
      <c r="I85" s="494" t="str">
        <f>IF(F83=0,"",IF(H85&gt;H87,"Enter this average component consumption figure in to the relevant component specification of the water consumption calculator",""))</f>
        <v/>
      </c>
    </row>
    <row r="86" spans="1:19" x14ac:dyDescent="0.2">
      <c r="A86" s="117"/>
      <c r="B86" s="117"/>
      <c r="C86" s="117"/>
      <c r="D86" s="117"/>
      <c r="E86" s="117"/>
      <c r="F86" s="117"/>
      <c r="G86" s="117"/>
      <c r="H86" s="117"/>
    </row>
    <row r="87" spans="1:19" ht="19.5" customHeight="1" x14ac:dyDescent="0.2">
      <c r="A87" s="117"/>
      <c r="B87" s="117"/>
      <c r="C87" s="117"/>
      <c r="D87" s="117"/>
      <c r="E87" s="117"/>
      <c r="F87" s="299" t="s">
        <v>933</v>
      </c>
      <c r="G87" s="299"/>
      <c r="H87" s="121">
        <f>MAX(E78:E82)*0.7</f>
        <v>0</v>
      </c>
      <c r="I87" s="494" t="str">
        <f>IF(F83=0,"",IF(H87&gt;H85,"Enter this average component consumption figure in to the relevant component specification of the water consumption calculator",""))</f>
        <v/>
      </c>
    </row>
    <row r="88" spans="1:19" x14ac:dyDescent="0.2">
      <c r="A88" s="117"/>
      <c r="B88" s="117"/>
      <c r="C88" s="117"/>
      <c r="D88" s="117"/>
      <c r="E88" s="117"/>
      <c r="F88" s="117"/>
      <c r="G88" s="117"/>
      <c r="H88" s="117"/>
    </row>
    <row r="89" spans="1:19" ht="24.95" customHeight="1" x14ac:dyDescent="0.2">
      <c r="A89" s="117"/>
      <c r="B89" s="516" t="s">
        <v>624</v>
      </c>
      <c r="C89" s="516"/>
      <c r="D89" s="516"/>
      <c r="E89" s="516"/>
      <c r="F89" s="516"/>
      <c r="G89" s="516"/>
      <c r="H89" s="516"/>
    </row>
    <row r="90" spans="1:19" ht="24.95" customHeight="1" x14ac:dyDescent="0.2">
      <c r="A90" s="117"/>
      <c r="B90" s="117"/>
      <c r="C90" s="117"/>
      <c r="D90" s="117"/>
      <c r="E90" s="117"/>
      <c r="F90" s="117"/>
      <c r="G90" s="117"/>
      <c r="H90" s="117"/>
    </row>
    <row r="91" spans="1:19" ht="28.5" customHeight="1" x14ac:dyDescent="0.2">
      <c r="A91" s="117"/>
      <c r="B91" s="627" t="s">
        <v>932</v>
      </c>
      <c r="C91" s="628"/>
      <c r="D91" s="629"/>
      <c r="E91" s="538" t="s">
        <v>931</v>
      </c>
      <c r="F91" s="538" t="s">
        <v>798</v>
      </c>
      <c r="G91" s="538"/>
      <c r="H91" s="538" t="s">
        <v>799</v>
      </c>
      <c r="I91" s="355"/>
      <c r="J91" s="498"/>
      <c r="K91" s="498"/>
      <c r="L91" s="498"/>
      <c r="M91" s="498"/>
      <c r="N91" s="498"/>
      <c r="O91" s="498"/>
      <c r="P91" s="498"/>
      <c r="Q91" s="498"/>
      <c r="R91" s="498"/>
      <c r="S91" s="498"/>
    </row>
    <row r="92" spans="1:19" ht="15" customHeight="1" x14ac:dyDescent="0.2">
      <c r="A92" s="117"/>
      <c r="B92" s="358">
        <v>1</v>
      </c>
      <c r="C92" s="680"/>
      <c r="D92" s="681"/>
      <c r="E92" s="264"/>
      <c r="F92" s="497"/>
      <c r="G92" s="496"/>
      <c r="H92" s="121">
        <f>E92*F92</f>
        <v>0</v>
      </c>
      <c r="I92" s="355"/>
      <c r="J92" s="498"/>
      <c r="K92" s="498"/>
      <c r="L92" s="498"/>
      <c r="M92" s="498"/>
      <c r="N92" s="498"/>
      <c r="O92" s="498"/>
      <c r="P92" s="498"/>
      <c r="Q92" s="498"/>
      <c r="R92" s="498"/>
      <c r="S92" s="498"/>
    </row>
    <row r="93" spans="1:19" ht="15" customHeight="1" x14ac:dyDescent="0.2">
      <c r="A93" s="117"/>
      <c r="B93" s="358">
        <v>2</v>
      </c>
      <c r="C93" s="680"/>
      <c r="D93" s="681"/>
      <c r="E93" s="264"/>
      <c r="F93" s="497"/>
      <c r="G93" s="496"/>
      <c r="H93" s="121">
        <f>E93*F93</f>
        <v>0</v>
      </c>
      <c r="I93" s="355"/>
      <c r="J93" s="498"/>
      <c r="K93" s="498"/>
      <c r="L93" s="498"/>
      <c r="M93" s="498"/>
      <c r="N93" s="498"/>
      <c r="O93" s="498"/>
      <c r="P93" s="498"/>
      <c r="Q93" s="498"/>
      <c r="R93" s="498"/>
      <c r="S93" s="498"/>
    </row>
    <row r="94" spans="1:19" ht="15" customHeight="1" x14ac:dyDescent="0.2">
      <c r="A94" s="117"/>
      <c r="B94" s="358">
        <v>3</v>
      </c>
      <c r="C94" s="680"/>
      <c r="D94" s="681"/>
      <c r="E94" s="264"/>
      <c r="F94" s="497"/>
      <c r="G94" s="496"/>
      <c r="H94" s="121">
        <f>E94*F94</f>
        <v>0</v>
      </c>
      <c r="I94" s="355"/>
      <c r="J94" s="498"/>
      <c r="K94" s="498"/>
      <c r="L94" s="498"/>
      <c r="M94" s="498"/>
      <c r="N94" s="498"/>
      <c r="O94" s="498"/>
      <c r="P94" s="498"/>
      <c r="Q94" s="498"/>
      <c r="R94" s="498"/>
      <c r="S94" s="498"/>
    </row>
    <row r="95" spans="1:19" ht="15" customHeight="1" x14ac:dyDescent="0.2">
      <c r="A95" s="117"/>
      <c r="B95" s="358">
        <v>4</v>
      </c>
      <c r="C95" s="680"/>
      <c r="D95" s="681"/>
      <c r="E95" s="264"/>
      <c r="F95" s="497"/>
      <c r="G95" s="496"/>
      <c r="H95" s="121">
        <f>E95*F95</f>
        <v>0</v>
      </c>
    </row>
    <row r="96" spans="1:19" ht="15" customHeight="1" x14ac:dyDescent="0.2">
      <c r="A96" s="117"/>
      <c r="B96" s="358">
        <v>5</v>
      </c>
      <c r="C96" s="680"/>
      <c r="D96" s="681"/>
      <c r="E96" s="264"/>
      <c r="F96" s="497"/>
      <c r="G96" s="496"/>
      <c r="H96" s="121">
        <f>E96*F96</f>
        <v>0</v>
      </c>
    </row>
    <row r="97" spans="1:9" x14ac:dyDescent="0.2">
      <c r="A97" s="117"/>
      <c r="B97" s="117"/>
      <c r="C97" s="117"/>
      <c r="D97" s="117"/>
      <c r="E97" s="332" t="s">
        <v>5</v>
      </c>
      <c r="F97" s="116">
        <f>SUM(F92:F96)</f>
        <v>0</v>
      </c>
      <c r="G97" s="116"/>
      <c r="H97" s="121">
        <f>SUM(H92:H96)</f>
        <v>0</v>
      </c>
    </row>
    <row r="98" spans="1:9" x14ac:dyDescent="0.2">
      <c r="A98" s="117"/>
      <c r="B98" s="117"/>
      <c r="C98" s="117"/>
      <c r="D98" s="117"/>
      <c r="E98" s="117"/>
      <c r="F98" s="117"/>
      <c r="G98" s="117"/>
      <c r="H98" s="117"/>
    </row>
    <row r="99" spans="1:9" ht="19.5" customHeight="1" x14ac:dyDescent="0.2">
      <c r="A99" s="117"/>
      <c r="B99" s="117"/>
      <c r="C99" s="117"/>
      <c r="D99" s="117"/>
      <c r="E99" s="117"/>
      <c r="F99" s="495" t="s">
        <v>930</v>
      </c>
      <c r="G99" s="495"/>
      <c r="H99" s="121" t="str">
        <f>IF(ISERROR(H97/F97),"",H97/F97)</f>
        <v/>
      </c>
      <c r="I99" s="494" t="str">
        <f>IF(F97=0,"",IF(H99&gt;H101,"Enter this average component consumption figure in to the relevant component specification of the water consumption calculator",""))</f>
        <v/>
      </c>
    </row>
    <row r="100" spans="1:9" x14ac:dyDescent="0.2">
      <c r="A100" s="117"/>
      <c r="B100" s="117"/>
      <c r="C100" s="117"/>
      <c r="D100" s="117"/>
      <c r="E100" s="117"/>
      <c r="F100" s="117"/>
      <c r="G100" s="117"/>
      <c r="H100" s="117"/>
    </row>
    <row r="101" spans="1:9" ht="19.5" customHeight="1" x14ac:dyDescent="0.2">
      <c r="A101" s="117"/>
      <c r="B101" s="117"/>
      <c r="C101" s="117"/>
      <c r="D101" s="117"/>
      <c r="E101" s="117"/>
      <c r="F101" s="299" t="s">
        <v>929</v>
      </c>
      <c r="G101" s="299"/>
      <c r="H101" s="121">
        <f>MAX(E92:E96)*0.7</f>
        <v>0</v>
      </c>
      <c r="I101" s="494" t="str">
        <f>IF(F97=0,"",IF(H101&gt;H99,"Enter this average component consumption figure in to the relevant component specification of the water consumption calculator",""))</f>
        <v/>
      </c>
    </row>
    <row r="102" spans="1:9" x14ac:dyDescent="0.2">
      <c r="A102" s="117"/>
      <c r="B102" s="117"/>
      <c r="C102" s="117"/>
      <c r="D102" s="117"/>
      <c r="E102" s="117"/>
      <c r="F102" s="117"/>
      <c r="G102" s="117"/>
      <c r="H102" s="117"/>
    </row>
    <row r="103" spans="1:9" x14ac:dyDescent="0.2">
      <c r="A103" s="117"/>
      <c r="B103" s="117"/>
      <c r="C103" s="117"/>
      <c r="D103" s="117"/>
      <c r="E103" s="117"/>
      <c r="F103" s="117"/>
      <c r="G103" s="117"/>
      <c r="H103" s="117"/>
    </row>
    <row r="104" spans="1:9" x14ac:dyDescent="0.2">
      <c r="A104" s="117"/>
      <c r="B104" s="117"/>
      <c r="C104" s="117"/>
      <c r="D104" s="117"/>
      <c r="E104" s="117"/>
      <c r="F104" s="117"/>
      <c r="G104" s="117"/>
      <c r="H104" s="117"/>
    </row>
    <row r="105" spans="1:9" x14ac:dyDescent="0.2">
      <c r="A105" s="117"/>
      <c r="B105" s="117"/>
      <c r="C105" s="117"/>
      <c r="D105" s="117"/>
      <c r="E105" s="117"/>
      <c r="F105" s="117"/>
      <c r="G105" s="117"/>
      <c r="H105" s="117"/>
    </row>
    <row r="106" spans="1:9" x14ac:dyDescent="0.2">
      <c r="A106" s="117"/>
      <c r="B106" s="117"/>
      <c r="C106" s="117"/>
      <c r="D106" s="117"/>
      <c r="E106" s="117"/>
      <c r="F106" s="117"/>
      <c r="G106" s="117"/>
      <c r="H106" s="117"/>
    </row>
    <row r="107" spans="1:9" x14ac:dyDescent="0.2">
      <c r="A107" s="117"/>
      <c r="B107" s="117"/>
      <c r="C107" s="117"/>
      <c r="D107" s="117"/>
      <c r="E107" s="117"/>
      <c r="F107" s="117"/>
      <c r="G107" s="117"/>
      <c r="H107" s="117"/>
    </row>
    <row r="108" spans="1:9" x14ac:dyDescent="0.2">
      <c r="A108" s="117"/>
      <c r="B108" s="117"/>
      <c r="C108" s="117"/>
      <c r="D108" s="117"/>
      <c r="E108" s="117"/>
      <c r="F108" s="117"/>
      <c r="G108" s="117"/>
      <c r="H108" s="117"/>
    </row>
    <row r="109" spans="1:9" x14ac:dyDescent="0.2">
      <c r="A109" s="117"/>
      <c r="B109" s="117"/>
      <c r="C109" s="117"/>
      <c r="D109" s="117"/>
      <c r="E109" s="117"/>
      <c r="F109" s="117"/>
      <c r="G109" s="117"/>
      <c r="H109" s="117"/>
    </row>
    <row r="110" spans="1:9" x14ac:dyDescent="0.2">
      <c r="A110" s="117"/>
      <c r="B110" s="117"/>
      <c r="C110" s="117"/>
      <c r="D110" s="117"/>
      <c r="E110" s="117"/>
      <c r="F110" s="117"/>
      <c r="G110" s="117"/>
      <c r="H110" s="117"/>
    </row>
    <row r="111" spans="1:9" x14ac:dyDescent="0.2">
      <c r="A111" s="117"/>
      <c r="B111" s="117"/>
      <c r="C111" s="117"/>
      <c r="D111" s="117"/>
      <c r="E111" s="117"/>
      <c r="F111" s="117"/>
      <c r="G111" s="117"/>
      <c r="H111" s="117"/>
    </row>
    <row r="112" spans="1:9" x14ac:dyDescent="0.2">
      <c r="A112" s="117"/>
      <c r="B112" s="117"/>
      <c r="C112" s="117"/>
      <c r="D112" s="117"/>
      <c r="E112" s="117"/>
      <c r="F112" s="117"/>
      <c r="G112" s="117"/>
      <c r="H112" s="117"/>
    </row>
    <row r="113" s="117" customFormat="1" x14ac:dyDescent="0.2"/>
    <row r="114" s="117" customFormat="1" x14ac:dyDescent="0.2"/>
    <row r="115" s="117" customFormat="1" x14ac:dyDescent="0.2"/>
    <row r="116" s="117" customFormat="1" x14ac:dyDescent="0.2"/>
    <row r="117" s="117" customFormat="1" x14ac:dyDescent="0.2"/>
    <row r="118" s="117" customFormat="1" x14ac:dyDescent="0.2"/>
    <row r="119" s="117" customFormat="1" x14ac:dyDescent="0.2"/>
    <row r="120" s="117" customFormat="1" x14ac:dyDescent="0.2"/>
    <row r="121" s="117" customFormat="1" x14ac:dyDescent="0.2"/>
    <row r="122" s="117" customFormat="1" x14ac:dyDescent="0.2"/>
    <row r="123" s="117" customFormat="1" x14ac:dyDescent="0.2"/>
    <row r="124" s="117" customFormat="1" x14ac:dyDescent="0.2"/>
    <row r="125" s="117" customFormat="1" x14ac:dyDescent="0.2"/>
    <row r="126" s="117" customFormat="1" x14ac:dyDescent="0.2"/>
    <row r="127" s="117" customFormat="1" x14ac:dyDescent="0.2"/>
    <row r="128" s="117" customFormat="1" x14ac:dyDescent="0.2"/>
    <row r="129" s="117" customFormat="1" x14ac:dyDescent="0.2"/>
    <row r="130" s="117" customFormat="1" x14ac:dyDescent="0.2"/>
    <row r="131" s="117" customFormat="1" x14ac:dyDescent="0.2"/>
    <row r="132" s="117" customFormat="1" x14ac:dyDescent="0.2"/>
    <row r="133" s="117" customFormat="1" x14ac:dyDescent="0.2"/>
    <row r="134" s="117" customFormat="1" x14ac:dyDescent="0.2"/>
    <row r="135" s="117" customFormat="1" x14ac:dyDescent="0.2"/>
    <row r="136" s="117" customFormat="1" x14ac:dyDescent="0.2"/>
    <row r="137" s="117" customFormat="1" x14ac:dyDescent="0.2"/>
    <row r="138" s="117" customFormat="1" x14ac:dyDescent="0.2"/>
    <row r="139" s="117" customFormat="1" x14ac:dyDescent="0.2"/>
    <row r="140" s="117" customFormat="1" x14ac:dyDescent="0.2"/>
    <row r="141" s="117" customFormat="1" x14ac:dyDescent="0.2"/>
    <row r="142" s="117" customFormat="1" x14ac:dyDescent="0.2"/>
    <row r="143" s="117" customFormat="1" x14ac:dyDescent="0.2"/>
    <row r="144" s="117" customFormat="1" x14ac:dyDescent="0.2"/>
    <row r="145" s="117" customFormat="1" x14ac:dyDescent="0.2"/>
    <row r="146" s="117" customFormat="1" x14ac:dyDescent="0.2"/>
    <row r="147" s="117" customFormat="1" x14ac:dyDescent="0.2"/>
    <row r="148" s="117" customFormat="1" x14ac:dyDescent="0.2"/>
    <row r="149" s="117" customFormat="1" x14ac:dyDescent="0.2"/>
    <row r="150" s="117" customFormat="1" x14ac:dyDescent="0.2"/>
    <row r="151" s="117" customFormat="1" x14ac:dyDescent="0.2"/>
    <row r="152" s="117" customFormat="1" x14ac:dyDescent="0.2"/>
    <row r="153" s="117" customFormat="1" x14ac:dyDescent="0.2"/>
    <row r="154" s="117" customFormat="1" x14ac:dyDescent="0.2"/>
    <row r="155" s="117" customFormat="1" x14ac:dyDescent="0.2"/>
    <row r="156" s="117" customFormat="1" x14ac:dyDescent="0.2"/>
    <row r="157" s="117" customFormat="1" x14ac:dyDescent="0.2"/>
    <row r="158" s="117" customFormat="1" x14ac:dyDescent="0.2"/>
    <row r="159" s="117" customFormat="1" x14ac:dyDescent="0.2"/>
    <row r="160" s="117" customFormat="1" x14ac:dyDescent="0.2"/>
    <row r="161" s="117" customFormat="1" x14ac:dyDescent="0.2"/>
    <row r="162" s="117" customFormat="1" x14ac:dyDescent="0.2"/>
    <row r="163" s="117" customFormat="1" x14ac:dyDescent="0.2"/>
    <row r="164" s="117" customFormat="1" x14ac:dyDescent="0.2"/>
    <row r="165" s="117" customFormat="1" x14ac:dyDescent="0.2"/>
    <row r="166" s="117" customFormat="1" x14ac:dyDescent="0.2"/>
    <row r="167" s="117" customFormat="1" x14ac:dyDescent="0.2"/>
    <row r="168" s="117" customFormat="1" x14ac:dyDescent="0.2"/>
    <row r="169" s="117" customFormat="1" x14ac:dyDescent="0.2"/>
    <row r="170" s="117" customFormat="1" x14ac:dyDescent="0.2"/>
    <row r="171" s="117" customFormat="1" x14ac:dyDescent="0.2"/>
    <row r="172" s="117" customFormat="1" x14ac:dyDescent="0.2"/>
    <row r="173" s="117" customFormat="1" x14ac:dyDescent="0.2"/>
    <row r="174" s="117" customFormat="1" x14ac:dyDescent="0.2"/>
    <row r="175" s="117" customFormat="1" x14ac:dyDescent="0.2"/>
    <row r="176" s="117" customFormat="1" x14ac:dyDescent="0.2"/>
    <row r="177" s="117" customFormat="1" x14ac:dyDescent="0.2"/>
    <row r="178" s="117" customFormat="1" x14ac:dyDescent="0.2"/>
    <row r="179" s="117" customFormat="1" x14ac:dyDescent="0.2"/>
    <row r="180" s="117" customFormat="1" x14ac:dyDescent="0.2"/>
    <row r="181" s="117" customFormat="1" x14ac:dyDescent="0.2"/>
    <row r="182" s="117" customFormat="1" x14ac:dyDescent="0.2"/>
    <row r="183" s="117" customFormat="1" x14ac:dyDescent="0.2"/>
    <row r="184" s="117" customFormat="1" x14ac:dyDescent="0.2"/>
    <row r="185" s="117" customFormat="1" x14ac:dyDescent="0.2"/>
    <row r="186" s="117" customFormat="1" x14ac:dyDescent="0.2"/>
    <row r="187" s="117" customFormat="1" x14ac:dyDescent="0.2"/>
    <row r="188" s="117" customFormat="1" x14ac:dyDescent="0.2"/>
    <row r="189" s="117" customFormat="1" x14ac:dyDescent="0.2"/>
    <row r="190" s="117" customFormat="1" x14ac:dyDescent="0.2"/>
    <row r="191" s="117" customFormat="1" x14ac:dyDescent="0.2"/>
    <row r="192" s="117" customFormat="1" x14ac:dyDescent="0.2"/>
    <row r="193" s="117" customFormat="1" x14ac:dyDescent="0.2"/>
    <row r="194" s="117" customFormat="1" x14ac:dyDescent="0.2"/>
    <row r="195" s="117" customFormat="1" x14ac:dyDescent="0.2"/>
    <row r="196" s="117" customFormat="1" x14ac:dyDescent="0.2"/>
    <row r="197" s="117" customFormat="1" x14ac:dyDescent="0.2"/>
    <row r="198" s="117" customFormat="1" x14ac:dyDescent="0.2"/>
    <row r="199" s="117" customFormat="1" x14ac:dyDescent="0.2"/>
    <row r="200" s="117" customFormat="1" x14ac:dyDescent="0.2"/>
    <row r="201" s="117" customFormat="1" x14ac:dyDescent="0.2"/>
    <row r="202" s="117" customFormat="1" x14ac:dyDescent="0.2"/>
    <row r="203" s="117" customFormat="1" x14ac:dyDescent="0.2"/>
    <row r="204" s="117" customFormat="1" x14ac:dyDescent="0.2"/>
    <row r="205" s="117" customFormat="1" x14ac:dyDescent="0.2"/>
    <row r="206" s="117" customFormat="1" x14ac:dyDescent="0.2"/>
    <row r="207" s="117" customFormat="1" x14ac:dyDescent="0.2"/>
    <row r="208" s="117" customFormat="1" x14ac:dyDescent="0.2"/>
  </sheetData>
  <sheetProtection algorithmName="SHA-512" hashValue="hUF3RNI4t56CbTzQ6kH+WHeHDj1Oppoc2WRcJjXREcxjUHQ+yoLZSo0EX9IsacpvDsKP1gE2u8BlmVcJXLpq3w==" saltValue="3UYHP50LM+xQ5n4Sh1hZnQ==" spinCount="100000" sheet="1" objects="1" scenarios="1"/>
  <mergeCells count="41">
    <mergeCell ref="B63:D63"/>
    <mergeCell ref="C64:D64"/>
    <mergeCell ref="C65:D65"/>
    <mergeCell ref="C66:D66"/>
    <mergeCell ref="C68:D68"/>
    <mergeCell ref="C67:D67"/>
    <mergeCell ref="C96:D96"/>
    <mergeCell ref="B77:D77"/>
    <mergeCell ref="C78:D78"/>
    <mergeCell ref="C79:D79"/>
    <mergeCell ref="C80:D80"/>
    <mergeCell ref="C81:D81"/>
    <mergeCell ref="C82:D82"/>
    <mergeCell ref="B91:D91"/>
    <mergeCell ref="C92:D92"/>
    <mergeCell ref="C93:D93"/>
    <mergeCell ref="C94:D94"/>
    <mergeCell ref="C95:D95"/>
    <mergeCell ref="C41:D41"/>
    <mergeCell ref="B8:C8"/>
    <mergeCell ref="B37:D37"/>
    <mergeCell ref="C38:D38"/>
    <mergeCell ref="C39:D39"/>
    <mergeCell ref="C40:D40"/>
    <mergeCell ref="C52:D52"/>
    <mergeCell ref="C53:D53"/>
    <mergeCell ref="C54:D54"/>
    <mergeCell ref="B49:D49"/>
    <mergeCell ref="C42:D42"/>
    <mergeCell ref="C50:D50"/>
    <mergeCell ref="C51:D51"/>
    <mergeCell ref="D6:H6"/>
    <mergeCell ref="D8:H8"/>
    <mergeCell ref="C17:D17"/>
    <mergeCell ref="B24:C24"/>
    <mergeCell ref="B6:C6"/>
    <mergeCell ref="B12:D12"/>
    <mergeCell ref="C13:D13"/>
    <mergeCell ref="C14:D14"/>
    <mergeCell ref="C15:D15"/>
    <mergeCell ref="C16:D16"/>
  </mergeCells>
  <dataValidations count="1">
    <dataValidation allowBlank="1" showInputMessage="1" showErrorMessage="1" prompt="Enter the effective flush volume for the WC type._x000a__x000a_Refer to the technical guide for a definition oof effective flush volume and how to calculate it." sqref="E50:E54 E92:E96 E78:E82 E64:E68 D25:D26 E27:E29 E13:E17 E38:E42" xr:uid="{00000000-0002-0000-0C00-000000000000}"/>
  </dataValidations>
  <pageMargins left="0.7" right="0.7" top="0.75" bottom="0.75" header="0.3" footer="0.3"/>
  <pageSetup paperSize="9" orientation="portrait"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1"/>
  <dimension ref="A2:O52"/>
  <sheetViews>
    <sheetView showRowColHeaders="0" zoomScaleNormal="100" workbookViewId="0">
      <selection activeCell="I38" sqref="I38"/>
    </sheetView>
  </sheetViews>
  <sheetFormatPr defaultColWidth="9.140625" defaultRowHeight="12.75" x14ac:dyDescent="0.2"/>
  <cols>
    <col min="1" max="1" width="4.42578125" style="482" customWidth="1"/>
    <col min="2" max="2" width="17.28515625" style="492" customWidth="1"/>
    <col min="3" max="3" width="1.7109375" style="492" customWidth="1"/>
    <col min="4" max="4" width="14.140625" style="492" customWidth="1"/>
    <col min="5" max="5" width="2.5703125" style="492" customWidth="1"/>
    <col min="6" max="7" width="11.28515625" style="492" customWidth="1"/>
    <col min="8" max="8" width="12.28515625" style="492" customWidth="1"/>
    <col min="9" max="13" width="11.28515625" style="492" customWidth="1"/>
    <col min="14" max="14" width="5.5703125" style="482" customWidth="1"/>
    <col min="15" max="15" width="5.7109375" style="482" customWidth="1"/>
    <col min="16" max="16384" width="9.140625" style="492"/>
  </cols>
  <sheetData>
    <row r="2" spans="2:14" ht="35.1" customHeight="1" x14ac:dyDescent="0.2">
      <c r="B2" s="534" t="s">
        <v>1020</v>
      </c>
      <c r="C2" s="534"/>
      <c r="D2" s="534"/>
      <c r="E2" s="534"/>
      <c r="F2" s="534"/>
      <c r="G2" s="534"/>
      <c r="H2" s="534"/>
      <c r="I2" s="534"/>
      <c r="J2" s="534"/>
      <c r="K2" s="534"/>
      <c r="L2" s="534"/>
      <c r="M2" s="534"/>
      <c r="N2" s="534"/>
    </row>
    <row r="3" spans="2:14" ht="6" customHeight="1" x14ac:dyDescent="0.2">
      <c r="B3" s="483"/>
      <c r="C3" s="484"/>
      <c r="D3" s="484"/>
      <c r="E3" s="484"/>
      <c r="F3" s="484"/>
      <c r="G3" s="484"/>
      <c r="H3" s="484"/>
      <c r="I3" s="484"/>
      <c r="J3" s="484"/>
      <c r="K3" s="484"/>
      <c r="L3" s="484"/>
      <c r="M3" s="484"/>
      <c r="N3" s="484"/>
    </row>
    <row r="4" spans="2:14" ht="15" x14ac:dyDescent="0.25">
      <c r="B4" s="554" t="s">
        <v>924</v>
      </c>
      <c r="C4" s="485"/>
      <c r="D4" s="554" t="s">
        <v>925</v>
      </c>
      <c r="E4" s="486"/>
      <c r="F4" s="555" t="s">
        <v>926</v>
      </c>
      <c r="G4" s="556"/>
      <c r="H4" s="556"/>
      <c r="I4" s="556"/>
      <c r="J4" s="556"/>
      <c r="K4" s="556"/>
      <c r="L4" s="556"/>
      <c r="M4" s="556"/>
      <c r="N4" s="556"/>
    </row>
    <row r="5" spans="2:14" ht="3" customHeight="1" x14ac:dyDescent="0.2">
      <c r="B5" s="482"/>
      <c r="C5" s="482"/>
      <c r="D5" s="482"/>
      <c r="E5" s="482"/>
      <c r="F5" s="482"/>
      <c r="G5" s="482"/>
      <c r="H5" s="482"/>
      <c r="I5" s="482"/>
      <c r="J5" s="482"/>
      <c r="K5" s="482"/>
      <c r="L5" s="482"/>
      <c r="M5" s="482"/>
    </row>
    <row r="6" spans="2:14" ht="15" x14ac:dyDescent="0.25">
      <c r="B6" s="580">
        <v>4.0999999999999996</v>
      </c>
      <c r="C6" s="486"/>
      <c r="D6" s="488">
        <v>44712</v>
      </c>
      <c r="E6" s="486"/>
      <c r="F6" s="684" t="s">
        <v>1026</v>
      </c>
      <c r="G6" s="684"/>
      <c r="H6" s="684"/>
      <c r="I6" s="684"/>
      <c r="J6" s="684"/>
      <c r="K6" s="684"/>
      <c r="L6" s="684"/>
      <c r="M6" s="684"/>
      <c r="N6" s="684"/>
    </row>
    <row r="7" spans="2:14" s="482" customFormat="1" ht="6" customHeight="1" x14ac:dyDescent="0.25">
      <c r="B7" s="486"/>
      <c r="C7" s="486"/>
      <c r="D7" s="486"/>
      <c r="E7" s="486"/>
      <c r="F7" s="491"/>
      <c r="G7" s="491"/>
      <c r="H7" s="491"/>
      <c r="I7" s="491"/>
      <c r="J7" s="491"/>
      <c r="K7" s="491"/>
      <c r="L7" s="491"/>
      <c r="M7" s="491"/>
      <c r="N7" s="491"/>
    </row>
    <row r="8" spans="2:14" s="482" customFormat="1" ht="15" x14ac:dyDescent="0.25">
      <c r="B8" s="554" t="s">
        <v>927</v>
      </c>
      <c r="C8" s="485"/>
      <c r="D8" s="554" t="s">
        <v>925</v>
      </c>
      <c r="E8" s="486"/>
      <c r="F8" s="555" t="s">
        <v>928</v>
      </c>
      <c r="G8" s="556"/>
      <c r="H8" s="556"/>
      <c r="I8" s="556"/>
      <c r="J8" s="556"/>
      <c r="K8" s="556"/>
      <c r="L8" s="556"/>
      <c r="M8" s="556"/>
      <c r="N8" s="556"/>
    </row>
    <row r="9" spans="2:14" ht="3" customHeight="1" x14ac:dyDescent="0.2">
      <c r="B9" s="482"/>
      <c r="C9" s="482"/>
      <c r="D9" s="482"/>
      <c r="E9" s="482"/>
      <c r="F9" s="482"/>
      <c r="G9" s="482"/>
      <c r="H9" s="482"/>
      <c r="I9" s="482"/>
      <c r="J9" s="482"/>
      <c r="K9" s="482"/>
      <c r="L9" s="482"/>
      <c r="M9" s="482"/>
    </row>
    <row r="10" spans="2:14" ht="33" customHeight="1" x14ac:dyDescent="0.25">
      <c r="B10" s="580">
        <v>4</v>
      </c>
      <c r="C10" s="486"/>
      <c r="D10" s="488">
        <v>44523</v>
      </c>
      <c r="E10" s="486"/>
      <c r="F10" s="700" t="s">
        <v>1016</v>
      </c>
      <c r="G10" s="700"/>
      <c r="H10" s="700"/>
      <c r="I10" s="700"/>
      <c r="J10" s="700"/>
      <c r="K10" s="700"/>
      <c r="L10" s="700"/>
      <c r="M10" s="700"/>
      <c r="N10" s="700"/>
    </row>
    <row r="11" spans="2:14" s="482" customFormat="1" ht="5.25" customHeight="1" x14ac:dyDescent="0.25">
      <c r="B11" s="585"/>
      <c r="C11" s="485"/>
      <c r="D11" s="585"/>
      <c r="E11" s="486"/>
      <c r="F11" s="586"/>
      <c r="G11" s="587"/>
      <c r="H11" s="587"/>
      <c r="I11" s="587"/>
      <c r="J11" s="587"/>
      <c r="K11" s="587"/>
      <c r="L11" s="587"/>
      <c r="M11" s="587"/>
      <c r="N11" s="587"/>
    </row>
    <row r="12" spans="2:14" ht="13.5" customHeight="1" x14ac:dyDescent="0.25">
      <c r="B12" s="580">
        <v>3</v>
      </c>
      <c r="C12" s="486"/>
      <c r="D12" s="488">
        <v>42787</v>
      </c>
      <c r="E12" s="486"/>
      <c r="F12" s="684" t="s">
        <v>1010</v>
      </c>
      <c r="G12" s="684"/>
      <c r="H12" s="684"/>
      <c r="I12" s="684"/>
      <c r="J12" s="684"/>
      <c r="K12" s="684"/>
      <c r="L12" s="684"/>
      <c r="M12" s="684"/>
      <c r="N12" s="684"/>
    </row>
    <row r="13" spans="2:14" ht="3" customHeight="1" x14ac:dyDescent="0.2">
      <c r="B13" s="482"/>
      <c r="C13" s="482"/>
      <c r="D13" s="482"/>
      <c r="E13" s="482"/>
      <c r="F13" s="482"/>
      <c r="G13" s="482"/>
      <c r="H13" s="482"/>
      <c r="I13" s="482"/>
      <c r="J13" s="482"/>
      <c r="K13" s="482"/>
      <c r="L13" s="482"/>
      <c r="M13" s="482"/>
    </row>
    <row r="14" spans="2:14" ht="3" customHeight="1" x14ac:dyDescent="0.2">
      <c r="B14" s="482"/>
      <c r="C14" s="482"/>
      <c r="D14" s="482"/>
      <c r="E14" s="482"/>
      <c r="F14" s="482"/>
      <c r="G14" s="482"/>
      <c r="H14" s="482"/>
      <c r="I14" s="482"/>
      <c r="J14" s="482"/>
      <c r="K14" s="482"/>
      <c r="L14" s="482"/>
      <c r="M14" s="482"/>
    </row>
    <row r="15" spans="2:14" ht="18.75" customHeight="1" x14ac:dyDescent="0.25">
      <c r="B15" s="580">
        <v>2</v>
      </c>
      <c r="C15" s="486"/>
      <c r="D15" s="488">
        <v>42682</v>
      </c>
      <c r="E15" s="486"/>
      <c r="F15" s="684" t="s">
        <v>1007</v>
      </c>
      <c r="G15" s="684"/>
      <c r="H15" s="684"/>
      <c r="I15" s="684"/>
      <c r="J15" s="684"/>
      <c r="K15" s="684"/>
      <c r="L15" s="684"/>
      <c r="M15" s="684"/>
      <c r="N15" s="684"/>
    </row>
    <row r="16" spans="2:14" ht="3" customHeight="1" x14ac:dyDescent="0.2">
      <c r="B16" s="482"/>
      <c r="C16" s="482"/>
      <c r="D16" s="482"/>
      <c r="E16" s="482"/>
      <c r="F16" s="482"/>
      <c r="G16" s="482"/>
      <c r="H16" s="482"/>
      <c r="I16" s="482"/>
      <c r="J16" s="482"/>
      <c r="K16" s="482"/>
      <c r="L16" s="482"/>
      <c r="M16" s="482"/>
    </row>
    <row r="17" spans="2:14" ht="18.75" customHeight="1" x14ac:dyDescent="0.25">
      <c r="B17" s="580">
        <v>1</v>
      </c>
      <c r="C17" s="486"/>
      <c r="D17" s="488">
        <v>42450</v>
      </c>
      <c r="E17" s="486"/>
      <c r="F17" s="684" t="s">
        <v>1006</v>
      </c>
      <c r="G17" s="684"/>
      <c r="H17" s="684"/>
      <c r="I17" s="684"/>
      <c r="J17" s="684"/>
      <c r="K17" s="684"/>
      <c r="L17" s="684"/>
      <c r="M17" s="684"/>
      <c r="N17" s="684"/>
    </row>
    <row r="18" spans="2:14" ht="3" customHeight="1" x14ac:dyDescent="0.2">
      <c r="B18" s="482"/>
      <c r="C18" s="482"/>
      <c r="D18" s="482"/>
      <c r="E18" s="482"/>
      <c r="F18" s="482"/>
      <c r="G18" s="482"/>
      <c r="H18" s="482"/>
      <c r="I18" s="482"/>
      <c r="J18" s="482"/>
      <c r="K18" s="482"/>
      <c r="L18" s="482"/>
      <c r="M18" s="482"/>
    </row>
    <row r="19" spans="2:14" ht="15" hidden="1" customHeight="1" x14ac:dyDescent="0.25">
      <c r="B19" s="487"/>
      <c r="C19" s="486"/>
      <c r="D19" s="488"/>
      <c r="E19" s="486"/>
      <c r="F19" s="688"/>
      <c r="G19" s="689"/>
      <c r="H19" s="689"/>
      <c r="I19" s="689"/>
      <c r="J19" s="689"/>
      <c r="K19" s="689"/>
      <c r="L19" s="689"/>
      <c r="M19" s="689"/>
      <c r="N19" s="690"/>
    </row>
    <row r="20" spans="2:14" ht="15" hidden="1" customHeight="1" x14ac:dyDescent="0.25">
      <c r="B20" s="489"/>
      <c r="C20" s="486"/>
      <c r="D20" s="490"/>
      <c r="E20" s="486"/>
      <c r="F20" s="691"/>
      <c r="G20" s="692"/>
      <c r="H20" s="692"/>
      <c r="I20" s="692"/>
      <c r="J20" s="692"/>
      <c r="K20" s="692"/>
      <c r="L20" s="692"/>
      <c r="M20" s="692"/>
      <c r="N20" s="693"/>
    </row>
    <row r="21" spans="2:14" s="482" customFormat="1" ht="15" hidden="1" customHeight="1" x14ac:dyDescent="0.25">
      <c r="B21" s="489"/>
      <c r="C21" s="486"/>
      <c r="D21" s="490"/>
      <c r="E21" s="486"/>
      <c r="F21" s="694"/>
      <c r="G21" s="695"/>
      <c r="H21" s="695"/>
      <c r="I21" s="695"/>
      <c r="J21" s="695"/>
      <c r="K21" s="695"/>
      <c r="L21" s="695"/>
      <c r="M21" s="695"/>
      <c r="N21" s="696"/>
    </row>
    <row r="22" spans="2:14" ht="3" hidden="1" customHeight="1" x14ac:dyDescent="0.2">
      <c r="B22" s="482"/>
      <c r="C22" s="482"/>
      <c r="D22" s="482"/>
      <c r="E22" s="482"/>
      <c r="F22" s="482"/>
      <c r="G22" s="482"/>
      <c r="H22" s="482"/>
      <c r="I22" s="482"/>
      <c r="J22" s="482"/>
      <c r="K22" s="482"/>
      <c r="L22" s="482"/>
      <c r="M22" s="482"/>
    </row>
    <row r="23" spans="2:14" ht="15" hidden="1" customHeight="1" x14ac:dyDescent="0.25">
      <c r="B23" s="487"/>
      <c r="C23" s="486"/>
      <c r="D23" s="488"/>
      <c r="E23" s="486"/>
      <c r="F23" s="688"/>
      <c r="G23" s="689"/>
      <c r="H23" s="689"/>
      <c r="I23" s="689"/>
      <c r="J23" s="689"/>
      <c r="K23" s="689"/>
      <c r="L23" s="689"/>
      <c r="M23" s="689"/>
      <c r="N23" s="690"/>
    </row>
    <row r="24" spans="2:14" ht="15" hidden="1" customHeight="1" x14ac:dyDescent="0.25">
      <c r="B24" s="489"/>
      <c r="C24" s="486"/>
      <c r="D24" s="490"/>
      <c r="E24" s="486"/>
      <c r="F24" s="691"/>
      <c r="G24" s="692"/>
      <c r="H24" s="692"/>
      <c r="I24" s="692"/>
      <c r="J24" s="692"/>
      <c r="K24" s="692"/>
      <c r="L24" s="692"/>
      <c r="M24" s="692"/>
      <c r="N24" s="693"/>
    </row>
    <row r="25" spans="2:14" s="482" customFormat="1" ht="15" hidden="1" customHeight="1" x14ac:dyDescent="0.25">
      <c r="B25" s="489"/>
      <c r="C25" s="486"/>
      <c r="D25" s="490"/>
      <c r="E25" s="486"/>
      <c r="F25" s="694"/>
      <c r="G25" s="695"/>
      <c r="H25" s="695"/>
      <c r="I25" s="695"/>
      <c r="J25" s="695"/>
      <c r="K25" s="695"/>
      <c r="L25" s="695"/>
      <c r="M25" s="695"/>
      <c r="N25" s="696"/>
    </row>
    <row r="26" spans="2:14" s="482" customFormat="1" ht="3" hidden="1" customHeight="1" x14ac:dyDescent="0.25">
      <c r="B26" s="489"/>
      <c r="C26" s="486"/>
      <c r="D26" s="490"/>
      <c r="E26" s="486"/>
      <c r="F26" s="493"/>
      <c r="G26" s="493"/>
      <c r="H26" s="493"/>
      <c r="I26" s="493"/>
      <c r="J26" s="493"/>
      <c r="K26" s="493"/>
      <c r="L26" s="493"/>
      <c r="M26" s="493"/>
      <c r="N26" s="493"/>
    </row>
    <row r="27" spans="2:14" s="482" customFormat="1" ht="34.5" hidden="1" customHeight="1" x14ac:dyDescent="0.25">
      <c r="B27" s="489"/>
      <c r="C27" s="486"/>
      <c r="D27" s="490"/>
      <c r="E27" s="486"/>
      <c r="F27" s="697"/>
      <c r="G27" s="698"/>
      <c r="H27" s="698"/>
      <c r="I27" s="698"/>
      <c r="J27" s="698"/>
      <c r="K27" s="698"/>
      <c r="L27" s="698"/>
      <c r="M27" s="698"/>
      <c r="N27" s="699"/>
    </row>
    <row r="28" spans="2:14" s="482" customFormat="1" ht="3" hidden="1" customHeight="1" x14ac:dyDescent="0.25">
      <c r="B28" s="489"/>
      <c r="C28" s="486"/>
      <c r="D28" s="490"/>
      <c r="E28" s="486"/>
      <c r="F28" s="493"/>
      <c r="G28" s="493"/>
      <c r="H28" s="493"/>
      <c r="I28" s="493"/>
      <c r="J28" s="493"/>
      <c r="K28" s="493"/>
      <c r="L28" s="493"/>
      <c r="M28" s="493"/>
      <c r="N28" s="493"/>
    </row>
    <row r="29" spans="2:14" s="482" customFormat="1" ht="15" hidden="1" customHeight="1" x14ac:dyDescent="0.25">
      <c r="B29" s="489"/>
      <c r="C29" s="486"/>
      <c r="D29" s="490"/>
      <c r="E29" s="486"/>
      <c r="F29" s="688"/>
      <c r="G29" s="689"/>
      <c r="H29" s="689"/>
      <c r="I29" s="689"/>
      <c r="J29" s="689"/>
      <c r="K29" s="689"/>
      <c r="L29" s="689"/>
      <c r="M29" s="689"/>
      <c r="N29" s="690"/>
    </row>
    <row r="30" spans="2:14" s="482" customFormat="1" ht="15" hidden="1" customHeight="1" x14ac:dyDescent="0.25">
      <c r="B30" s="489"/>
      <c r="C30" s="486"/>
      <c r="D30" s="490"/>
      <c r="E30" s="486"/>
      <c r="F30" s="694"/>
      <c r="G30" s="695"/>
      <c r="H30" s="695"/>
      <c r="I30" s="695"/>
      <c r="J30" s="695"/>
      <c r="K30" s="695"/>
      <c r="L30" s="695"/>
      <c r="M30" s="695"/>
      <c r="N30" s="696"/>
    </row>
    <row r="31" spans="2:14" s="482" customFormat="1" ht="5.25" hidden="1" customHeight="1" x14ac:dyDescent="0.25">
      <c r="B31" s="486"/>
      <c r="C31" s="486"/>
      <c r="D31" s="486"/>
      <c r="E31" s="486"/>
      <c r="F31" s="486"/>
      <c r="G31" s="486"/>
      <c r="H31" s="486"/>
      <c r="I31" s="486"/>
      <c r="J31" s="486"/>
      <c r="K31" s="486"/>
      <c r="L31" s="486"/>
      <c r="M31" s="486"/>
      <c r="N31" s="486"/>
    </row>
    <row r="32" spans="2:14" ht="15" hidden="1" customHeight="1" x14ac:dyDescent="0.25">
      <c r="B32" s="487"/>
      <c r="C32" s="486"/>
      <c r="D32" s="488"/>
      <c r="E32" s="486"/>
      <c r="F32" s="688"/>
      <c r="G32" s="689"/>
      <c r="H32" s="689"/>
      <c r="I32" s="689"/>
      <c r="J32" s="689"/>
      <c r="K32" s="689"/>
      <c r="L32" s="689"/>
      <c r="M32" s="689"/>
      <c r="N32" s="690"/>
    </row>
    <row r="33" spans="2:14" ht="15" hidden="1" customHeight="1" x14ac:dyDescent="0.25">
      <c r="B33" s="489"/>
      <c r="C33" s="486"/>
      <c r="D33" s="490"/>
      <c r="E33" s="486"/>
      <c r="F33" s="691"/>
      <c r="G33" s="692"/>
      <c r="H33" s="692"/>
      <c r="I33" s="692"/>
      <c r="J33" s="692"/>
      <c r="K33" s="692"/>
      <c r="L33" s="692"/>
      <c r="M33" s="692"/>
      <c r="N33" s="693"/>
    </row>
    <row r="34" spans="2:14" s="482" customFormat="1" ht="15" hidden="1" customHeight="1" x14ac:dyDescent="0.25">
      <c r="B34" s="489"/>
      <c r="C34" s="486"/>
      <c r="D34" s="490"/>
      <c r="E34" s="486"/>
      <c r="F34" s="694"/>
      <c r="G34" s="695"/>
      <c r="H34" s="695"/>
      <c r="I34" s="695"/>
      <c r="J34" s="695"/>
      <c r="K34" s="695"/>
      <c r="L34" s="695"/>
      <c r="M34" s="695"/>
      <c r="N34" s="696"/>
    </row>
    <row r="35" spans="2:14" s="482" customFormat="1" ht="5.25" hidden="1" customHeight="1" x14ac:dyDescent="0.25">
      <c r="B35" s="486"/>
      <c r="C35" s="486"/>
      <c r="D35" s="486"/>
      <c r="E35" s="486"/>
      <c r="F35" s="486"/>
      <c r="G35" s="486"/>
      <c r="H35" s="486"/>
      <c r="I35" s="486"/>
      <c r="J35" s="486"/>
      <c r="K35" s="486"/>
      <c r="L35" s="486"/>
      <c r="M35" s="486"/>
      <c r="N35" s="486"/>
    </row>
    <row r="36" spans="2:14" s="482" customFormat="1" ht="17.25" hidden="1" customHeight="1" x14ac:dyDescent="0.25">
      <c r="B36" s="487"/>
      <c r="C36" s="486"/>
      <c r="D36" s="488"/>
      <c r="E36" s="486"/>
      <c r="F36" s="685"/>
      <c r="G36" s="686"/>
      <c r="H36" s="686"/>
      <c r="I36" s="686"/>
      <c r="J36" s="686"/>
      <c r="K36" s="686"/>
      <c r="L36" s="686"/>
      <c r="M36" s="686"/>
      <c r="N36" s="687"/>
    </row>
    <row r="37" spans="2:14" s="482" customFormat="1" ht="15" x14ac:dyDescent="0.25">
      <c r="B37" s="486"/>
      <c r="C37" s="486"/>
      <c r="D37" s="486"/>
      <c r="E37" s="486"/>
      <c r="F37" s="491"/>
      <c r="G37" s="491"/>
      <c r="H37" s="491"/>
      <c r="I37" s="491"/>
      <c r="J37" s="491"/>
      <c r="K37" s="491"/>
      <c r="L37" s="491"/>
      <c r="M37" s="491"/>
      <c r="N37" s="491"/>
    </row>
    <row r="38" spans="2:14" s="482" customFormat="1" x14ac:dyDescent="0.2"/>
    <row r="52" spans="14:14" x14ac:dyDescent="0.2">
      <c r="N52" s="588" t="s">
        <v>1017</v>
      </c>
    </row>
  </sheetData>
  <sheetProtection algorithmName="SHA-512" hashValue="6L6QfnGpxnWdwoIGXHFYuNYfGr8KxaiqCwyqhJkhdSBaJy7bVrISjA1MFYl+Uiei1onvjEEHagN5TZZpFERqPQ==" saltValue="vxIpt0vXiWQ4VMcKsqyFmg==" spinCount="100000" sheet="1" objects="1" scenarios="1"/>
  <mergeCells count="11">
    <mergeCell ref="F17:N17"/>
    <mergeCell ref="F6:N6"/>
    <mergeCell ref="F36:N36"/>
    <mergeCell ref="F32:N34"/>
    <mergeCell ref="F27:N27"/>
    <mergeCell ref="F29:N30"/>
    <mergeCell ref="F23:N25"/>
    <mergeCell ref="F19:N21"/>
    <mergeCell ref="F15:N15"/>
    <mergeCell ref="F12:N12"/>
    <mergeCell ref="F10:N10"/>
  </mergeCells>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filterMode="1"/>
  <dimension ref="A1:AD359"/>
  <sheetViews>
    <sheetView topLeftCell="A88" zoomScale="80" zoomScaleNormal="80" workbookViewId="0">
      <selection activeCell="D210" sqref="D210"/>
    </sheetView>
  </sheetViews>
  <sheetFormatPr defaultColWidth="9.140625" defaultRowHeight="12.75" x14ac:dyDescent="0.2"/>
  <cols>
    <col min="1" max="1" width="13.28515625" style="375" customWidth="1"/>
    <col min="2" max="2" width="30" style="373" customWidth="1"/>
    <col min="3" max="3" width="26.28515625" style="373" customWidth="1"/>
    <col min="4" max="4" width="19.140625" style="373" bestFit="1" customWidth="1"/>
    <col min="5" max="5" width="0" style="373" hidden="1" customWidth="1"/>
    <col min="6" max="6" width="15.28515625" style="373" customWidth="1"/>
    <col min="7" max="16384" width="9.140625" style="373"/>
  </cols>
  <sheetData>
    <row r="1" spans="1:30" ht="23.25" x14ac:dyDescent="0.35">
      <c r="A1" s="372" t="s">
        <v>119</v>
      </c>
    </row>
    <row r="2" spans="1:30" x14ac:dyDescent="0.2">
      <c r="A2" s="374"/>
    </row>
    <row r="3" spans="1:30" x14ac:dyDescent="0.2">
      <c r="A3" s="374" t="s">
        <v>120</v>
      </c>
    </row>
    <row r="4" spans="1:30" x14ac:dyDescent="0.2">
      <c r="A4" s="374" t="s">
        <v>413</v>
      </c>
    </row>
    <row r="5" spans="1:30" x14ac:dyDescent="0.2">
      <c r="A5" s="374" t="s">
        <v>121</v>
      </c>
    </row>
    <row r="6" spans="1:30" x14ac:dyDescent="0.2">
      <c r="A6" s="374" t="s">
        <v>122</v>
      </c>
    </row>
    <row r="7" spans="1:30" x14ac:dyDescent="0.2">
      <c r="A7" s="374"/>
    </row>
    <row r="8" spans="1:30" x14ac:dyDescent="0.2">
      <c r="A8" s="6" t="s">
        <v>414</v>
      </c>
      <c r="B8" s="6" t="s">
        <v>415</v>
      </c>
      <c r="C8" s="6" t="s">
        <v>376</v>
      </c>
      <c r="D8" s="6" t="s">
        <v>368</v>
      </c>
      <c r="E8" s="6" t="s">
        <v>416</v>
      </c>
      <c r="F8" s="6" t="s">
        <v>417</v>
      </c>
      <c r="G8" s="6" t="s">
        <v>289</v>
      </c>
      <c r="H8" s="6" t="s">
        <v>290</v>
      </c>
      <c r="I8" s="6" t="s">
        <v>291</v>
      </c>
      <c r="J8" s="6" t="s">
        <v>292</v>
      </c>
      <c r="K8" s="6" t="s">
        <v>293</v>
      </c>
      <c r="L8" s="6" t="s">
        <v>294</v>
      </c>
      <c r="M8" s="6" t="s">
        <v>295</v>
      </c>
      <c r="N8" s="6" t="s">
        <v>296</v>
      </c>
      <c r="O8" s="6" t="s">
        <v>297</v>
      </c>
      <c r="P8" s="6" t="s">
        <v>298</v>
      </c>
      <c r="Q8" s="6" t="s">
        <v>299</v>
      </c>
      <c r="R8" s="6" t="s">
        <v>300</v>
      </c>
      <c r="S8" s="6" t="s">
        <v>301</v>
      </c>
      <c r="T8" s="6" t="s">
        <v>302</v>
      </c>
      <c r="U8" s="6" t="s">
        <v>303</v>
      </c>
      <c r="V8" s="6" t="s">
        <v>304</v>
      </c>
      <c r="W8" s="6" t="s">
        <v>305</v>
      </c>
      <c r="X8" s="6" t="s">
        <v>306</v>
      </c>
      <c r="Y8" s="6" t="s">
        <v>307</v>
      </c>
      <c r="Z8" s="6" t="s">
        <v>308</v>
      </c>
      <c r="AA8" s="6" t="s">
        <v>309</v>
      </c>
      <c r="AB8" s="6" t="s">
        <v>310</v>
      </c>
      <c r="AC8" s="6" t="s">
        <v>311</v>
      </c>
      <c r="AD8" s="6" t="s">
        <v>312</v>
      </c>
    </row>
    <row r="9" spans="1:30" ht="38.25" hidden="1" x14ac:dyDescent="0.2">
      <c r="A9" s="7">
        <v>1000</v>
      </c>
      <c r="B9" s="8" t="s">
        <v>418</v>
      </c>
      <c r="C9" s="8" t="s">
        <v>123</v>
      </c>
      <c r="D9" s="9">
        <v>0.11</v>
      </c>
      <c r="E9" s="8" t="s">
        <v>419</v>
      </c>
      <c r="F9" s="8" t="str">
        <f>RIGHT(E9,3)</f>
        <v>WK1</v>
      </c>
      <c r="G9" s="9">
        <v>0</v>
      </c>
      <c r="H9" s="9">
        <v>0</v>
      </c>
      <c r="I9" s="9">
        <v>0</v>
      </c>
      <c r="J9" s="9">
        <v>0</v>
      </c>
      <c r="K9" s="9">
        <v>0</v>
      </c>
      <c r="L9" s="9">
        <v>0</v>
      </c>
      <c r="M9" s="9">
        <v>0</v>
      </c>
      <c r="N9" s="9">
        <v>0</v>
      </c>
      <c r="O9" s="9">
        <v>1</v>
      </c>
      <c r="P9" s="9">
        <v>1</v>
      </c>
      <c r="Q9" s="9">
        <v>1</v>
      </c>
      <c r="R9" s="9">
        <v>1</v>
      </c>
      <c r="S9" s="9">
        <v>1</v>
      </c>
      <c r="T9" s="9">
        <v>1</v>
      </c>
      <c r="U9" s="9">
        <v>1</v>
      </c>
      <c r="V9" s="9">
        <v>1</v>
      </c>
      <c r="W9" s="9">
        <v>1</v>
      </c>
      <c r="X9" s="9">
        <v>1</v>
      </c>
      <c r="Y9" s="9">
        <v>0</v>
      </c>
      <c r="Z9" s="9">
        <v>0</v>
      </c>
      <c r="AA9" s="9">
        <v>0</v>
      </c>
      <c r="AB9" s="9">
        <v>0</v>
      </c>
      <c r="AC9" s="9">
        <v>0</v>
      </c>
      <c r="AD9" s="9">
        <v>0</v>
      </c>
    </row>
    <row r="10" spans="1:30" ht="51" hidden="1" x14ac:dyDescent="0.2">
      <c r="A10" s="7">
        <v>1001</v>
      </c>
      <c r="B10" s="8" t="s">
        <v>420</v>
      </c>
      <c r="C10" s="8" t="s">
        <v>123</v>
      </c>
      <c r="D10" s="9">
        <v>0.11733333333333337</v>
      </c>
      <c r="E10" s="8" t="s">
        <v>421</v>
      </c>
      <c r="F10" s="8" t="str">
        <f t="shared" ref="F10:F73" si="0">RIGHT(E10,3)</f>
        <v>WK1</v>
      </c>
      <c r="G10" s="9">
        <v>0</v>
      </c>
      <c r="H10" s="9">
        <v>0</v>
      </c>
      <c r="I10" s="9">
        <v>0</v>
      </c>
      <c r="J10" s="9">
        <v>0</v>
      </c>
      <c r="K10" s="9">
        <v>0</v>
      </c>
      <c r="L10" s="9">
        <v>0</v>
      </c>
      <c r="M10" s="9">
        <v>0</v>
      </c>
      <c r="N10" s="9">
        <v>0.25</v>
      </c>
      <c r="O10" s="9">
        <v>0.5</v>
      </c>
      <c r="P10" s="9">
        <v>1</v>
      </c>
      <c r="Q10" s="9">
        <v>1</v>
      </c>
      <c r="R10" s="9">
        <v>1</v>
      </c>
      <c r="S10" s="9">
        <v>0.75</v>
      </c>
      <c r="T10" s="9">
        <v>0.75</v>
      </c>
      <c r="U10" s="9">
        <v>1</v>
      </c>
      <c r="V10" s="9">
        <v>1</v>
      </c>
      <c r="W10" s="9">
        <v>1</v>
      </c>
      <c r="X10" s="9">
        <v>0.5</v>
      </c>
      <c r="Y10" s="9">
        <v>0.25</v>
      </c>
      <c r="Z10" s="9">
        <v>0</v>
      </c>
      <c r="AA10" s="9">
        <v>0</v>
      </c>
      <c r="AB10" s="9">
        <v>0</v>
      </c>
      <c r="AC10" s="9">
        <v>0</v>
      </c>
      <c r="AD10" s="9">
        <v>0</v>
      </c>
    </row>
    <row r="11" spans="1:30" ht="38.25" hidden="1" x14ac:dyDescent="0.2">
      <c r="A11" s="7">
        <v>1002</v>
      </c>
      <c r="B11" s="8" t="s">
        <v>370</v>
      </c>
      <c r="C11" s="8" t="s">
        <v>123</v>
      </c>
      <c r="D11" s="9">
        <v>0.11244444444444444</v>
      </c>
      <c r="E11" s="8" t="s">
        <v>422</v>
      </c>
      <c r="F11" s="8" t="str">
        <f t="shared" si="0"/>
        <v>WK1</v>
      </c>
      <c r="G11" s="9">
        <v>0</v>
      </c>
      <c r="H11" s="9">
        <v>0</v>
      </c>
      <c r="I11" s="9">
        <v>0</v>
      </c>
      <c r="J11" s="9">
        <v>0</v>
      </c>
      <c r="K11" s="9">
        <v>0</v>
      </c>
      <c r="L11" s="9">
        <v>0</v>
      </c>
      <c r="M11" s="9">
        <v>0</v>
      </c>
      <c r="N11" s="9">
        <v>0.25</v>
      </c>
      <c r="O11" s="9">
        <v>0.5</v>
      </c>
      <c r="P11" s="9">
        <v>1</v>
      </c>
      <c r="Q11" s="9">
        <v>1</v>
      </c>
      <c r="R11" s="9">
        <v>1</v>
      </c>
      <c r="S11" s="9">
        <v>0.75</v>
      </c>
      <c r="T11" s="9">
        <v>0.75</v>
      </c>
      <c r="U11" s="9">
        <v>1</v>
      </c>
      <c r="V11" s="9">
        <v>1</v>
      </c>
      <c r="W11" s="9">
        <v>1</v>
      </c>
      <c r="X11" s="9">
        <v>0.5</v>
      </c>
      <c r="Y11" s="9">
        <v>0.25</v>
      </c>
      <c r="Z11" s="9">
        <v>0</v>
      </c>
      <c r="AA11" s="9">
        <v>0</v>
      </c>
      <c r="AB11" s="9">
        <v>0</v>
      </c>
      <c r="AC11" s="9">
        <v>0</v>
      </c>
      <c r="AD11" s="9">
        <v>0</v>
      </c>
    </row>
    <row r="12" spans="1:30" ht="51" hidden="1" x14ac:dyDescent="0.2">
      <c r="A12" s="7">
        <v>1003</v>
      </c>
      <c r="B12" s="8" t="s">
        <v>286</v>
      </c>
      <c r="C12" s="8" t="s">
        <v>123</v>
      </c>
      <c r="D12" s="9">
        <v>0.10083333333333333</v>
      </c>
      <c r="E12" s="8" t="s">
        <v>124</v>
      </c>
      <c r="F12" s="8" t="str">
        <f t="shared" si="0"/>
        <v>WK1</v>
      </c>
      <c r="G12" s="9">
        <v>0</v>
      </c>
      <c r="H12" s="9">
        <v>0</v>
      </c>
      <c r="I12" s="9">
        <v>0</v>
      </c>
      <c r="J12" s="9">
        <v>0</v>
      </c>
      <c r="K12" s="9">
        <v>0</v>
      </c>
      <c r="L12" s="9">
        <v>0</v>
      </c>
      <c r="M12" s="9">
        <v>0</v>
      </c>
      <c r="N12" s="9">
        <v>0.25</v>
      </c>
      <c r="O12" s="9">
        <v>0.5</v>
      </c>
      <c r="P12" s="9">
        <v>1</v>
      </c>
      <c r="Q12" s="9">
        <v>1</v>
      </c>
      <c r="R12" s="9">
        <v>1</v>
      </c>
      <c r="S12" s="9">
        <v>0.75</v>
      </c>
      <c r="T12" s="9">
        <v>0.75</v>
      </c>
      <c r="U12" s="9">
        <v>1</v>
      </c>
      <c r="V12" s="9">
        <v>1</v>
      </c>
      <c r="W12" s="9">
        <v>1</v>
      </c>
      <c r="X12" s="9">
        <v>0.5</v>
      </c>
      <c r="Y12" s="9">
        <v>0.25</v>
      </c>
      <c r="Z12" s="9">
        <v>0</v>
      </c>
      <c r="AA12" s="9">
        <v>0</v>
      </c>
      <c r="AB12" s="9">
        <v>0</v>
      </c>
      <c r="AC12" s="9">
        <v>0</v>
      </c>
      <c r="AD12" s="9">
        <v>0</v>
      </c>
    </row>
    <row r="13" spans="1:30" ht="38.25" hidden="1" x14ac:dyDescent="0.2">
      <c r="A13" s="7">
        <v>1004</v>
      </c>
      <c r="B13" s="8" t="s">
        <v>423</v>
      </c>
      <c r="C13" s="8" t="s">
        <v>123</v>
      </c>
      <c r="D13" s="9">
        <v>0.11</v>
      </c>
      <c r="E13" s="8" t="s">
        <v>424</v>
      </c>
      <c r="F13" s="8" t="str">
        <f t="shared" si="0"/>
        <v>WK1</v>
      </c>
      <c r="G13" s="9">
        <v>0</v>
      </c>
      <c r="H13" s="9">
        <v>0</v>
      </c>
      <c r="I13" s="9">
        <v>0</v>
      </c>
      <c r="J13" s="9">
        <v>0</v>
      </c>
      <c r="K13" s="9">
        <v>0</v>
      </c>
      <c r="L13" s="9">
        <v>0</v>
      </c>
      <c r="M13" s="9">
        <v>0</v>
      </c>
      <c r="N13" s="9">
        <v>0</v>
      </c>
      <c r="O13" s="9">
        <v>0</v>
      </c>
      <c r="P13" s="9">
        <v>0</v>
      </c>
      <c r="Q13" s="9">
        <v>0</v>
      </c>
      <c r="R13" s="9">
        <v>0</v>
      </c>
      <c r="S13" s="9">
        <v>0</v>
      </c>
      <c r="T13" s="9">
        <v>0</v>
      </c>
      <c r="U13" s="9">
        <v>0</v>
      </c>
      <c r="V13" s="9">
        <v>0</v>
      </c>
      <c r="W13" s="9">
        <v>0</v>
      </c>
      <c r="X13" s="9">
        <v>0</v>
      </c>
      <c r="Y13" s="9">
        <v>0</v>
      </c>
      <c r="Z13" s="9">
        <v>0</v>
      </c>
      <c r="AA13" s="9">
        <v>0</v>
      </c>
      <c r="AB13" s="9">
        <v>0</v>
      </c>
      <c r="AC13" s="9">
        <v>0</v>
      </c>
      <c r="AD13" s="9">
        <v>0</v>
      </c>
    </row>
    <row r="14" spans="1:30" ht="38.25" hidden="1" x14ac:dyDescent="0.2">
      <c r="A14" s="7">
        <v>1005</v>
      </c>
      <c r="B14" s="8" t="s">
        <v>425</v>
      </c>
      <c r="C14" s="8" t="s">
        <v>123</v>
      </c>
      <c r="D14" s="9">
        <v>0.111</v>
      </c>
      <c r="E14" s="8" t="s">
        <v>125</v>
      </c>
      <c r="F14" s="8" t="str">
        <f t="shared" si="0"/>
        <v>WK1</v>
      </c>
      <c r="G14" s="9">
        <v>0</v>
      </c>
      <c r="H14" s="9">
        <v>0</v>
      </c>
      <c r="I14" s="9">
        <v>0</v>
      </c>
      <c r="J14" s="9">
        <v>0</v>
      </c>
      <c r="K14" s="9">
        <v>0</v>
      </c>
      <c r="L14" s="9">
        <v>0</v>
      </c>
      <c r="M14" s="9">
        <v>0</v>
      </c>
      <c r="N14" s="9">
        <v>0.25</v>
      </c>
      <c r="O14" s="9">
        <v>0.5</v>
      </c>
      <c r="P14" s="9">
        <v>1</v>
      </c>
      <c r="Q14" s="9">
        <v>1</v>
      </c>
      <c r="R14" s="9">
        <v>1</v>
      </c>
      <c r="S14" s="9">
        <v>0.75</v>
      </c>
      <c r="T14" s="9">
        <v>0.75</v>
      </c>
      <c r="U14" s="9">
        <v>1</v>
      </c>
      <c r="V14" s="9">
        <v>1</v>
      </c>
      <c r="W14" s="9">
        <v>1</v>
      </c>
      <c r="X14" s="9">
        <v>0.5</v>
      </c>
      <c r="Y14" s="9">
        <v>0.25</v>
      </c>
      <c r="Z14" s="9">
        <v>0</v>
      </c>
      <c r="AA14" s="9">
        <v>0</v>
      </c>
      <c r="AB14" s="9">
        <v>0</v>
      </c>
      <c r="AC14" s="9">
        <v>0</v>
      </c>
      <c r="AD14" s="9">
        <v>0</v>
      </c>
    </row>
    <row r="15" spans="1:30" ht="38.25" hidden="1" x14ac:dyDescent="0.2">
      <c r="A15" s="7">
        <v>1006</v>
      </c>
      <c r="B15" s="8" t="s">
        <v>85</v>
      </c>
      <c r="C15" s="8" t="s">
        <v>123</v>
      </c>
      <c r="D15" s="9">
        <v>0.16484848484848486</v>
      </c>
      <c r="E15" s="8" t="s">
        <v>126</v>
      </c>
      <c r="F15" s="8" t="str">
        <f t="shared" si="0"/>
        <v>Wk1</v>
      </c>
      <c r="G15" s="9">
        <v>0</v>
      </c>
      <c r="H15" s="9">
        <v>0</v>
      </c>
      <c r="I15" s="9">
        <v>0</v>
      </c>
      <c r="J15" s="9">
        <v>0</v>
      </c>
      <c r="K15" s="9">
        <v>0</v>
      </c>
      <c r="L15" s="9">
        <v>0</v>
      </c>
      <c r="M15" s="9">
        <v>0.25</v>
      </c>
      <c r="N15" s="9">
        <v>1</v>
      </c>
      <c r="O15" s="9">
        <v>1</v>
      </c>
      <c r="P15" s="9">
        <v>0.25</v>
      </c>
      <c r="Q15" s="9">
        <v>0</v>
      </c>
      <c r="R15" s="9">
        <v>0.25</v>
      </c>
      <c r="S15" s="9">
        <v>1</v>
      </c>
      <c r="T15" s="9">
        <v>1</v>
      </c>
      <c r="U15" s="9">
        <v>0.5</v>
      </c>
      <c r="V15" s="9">
        <v>0</v>
      </c>
      <c r="W15" s="9">
        <v>0</v>
      </c>
      <c r="X15" s="9">
        <v>0.5</v>
      </c>
      <c r="Y15" s="9">
        <v>1</v>
      </c>
      <c r="Z15" s="9">
        <v>1</v>
      </c>
      <c r="AA15" s="9">
        <v>0.5</v>
      </c>
      <c r="AB15" s="9">
        <v>0</v>
      </c>
      <c r="AC15" s="9">
        <v>0</v>
      </c>
      <c r="AD15" s="9">
        <v>0</v>
      </c>
    </row>
    <row r="16" spans="1:30" ht="38.25" hidden="1" x14ac:dyDescent="0.2">
      <c r="A16" s="7">
        <v>1007</v>
      </c>
      <c r="B16" s="8" t="s">
        <v>127</v>
      </c>
      <c r="C16" s="8" t="s">
        <v>123</v>
      </c>
      <c r="D16" s="9">
        <v>0.1</v>
      </c>
      <c r="E16" s="8" t="s">
        <v>128</v>
      </c>
      <c r="F16" s="8" t="str">
        <f t="shared" si="0"/>
        <v>WK1</v>
      </c>
      <c r="G16" s="9">
        <v>0</v>
      </c>
      <c r="H16" s="9">
        <v>0</v>
      </c>
      <c r="I16" s="9">
        <v>0</v>
      </c>
      <c r="J16" s="9">
        <v>0</v>
      </c>
      <c r="K16" s="9">
        <v>0</v>
      </c>
      <c r="L16" s="9">
        <v>0</v>
      </c>
      <c r="M16" s="9">
        <v>0</v>
      </c>
      <c r="N16" s="9">
        <v>1</v>
      </c>
      <c r="O16" s="9">
        <v>1</v>
      </c>
      <c r="P16" s="9">
        <v>1</v>
      </c>
      <c r="Q16" s="9">
        <v>1</v>
      </c>
      <c r="R16" s="9">
        <v>1</v>
      </c>
      <c r="S16" s="9">
        <v>1</v>
      </c>
      <c r="T16" s="9">
        <v>1</v>
      </c>
      <c r="U16" s="9">
        <v>1</v>
      </c>
      <c r="V16" s="9">
        <v>1</v>
      </c>
      <c r="W16" s="9">
        <v>1</v>
      </c>
      <c r="X16" s="9">
        <v>1</v>
      </c>
      <c r="Y16" s="9">
        <v>1</v>
      </c>
      <c r="Z16" s="9">
        <v>1</v>
      </c>
      <c r="AA16" s="9">
        <v>0</v>
      </c>
      <c r="AB16" s="9">
        <v>0</v>
      </c>
      <c r="AC16" s="9">
        <v>0</v>
      </c>
      <c r="AD16" s="9">
        <v>0</v>
      </c>
    </row>
    <row r="17" spans="1:30" ht="51" hidden="1" x14ac:dyDescent="0.2">
      <c r="A17" s="7">
        <v>1008</v>
      </c>
      <c r="B17" s="8" t="s">
        <v>273</v>
      </c>
      <c r="C17" s="8" t="s">
        <v>123</v>
      </c>
      <c r="D17" s="9">
        <v>0.10803571428571428</v>
      </c>
      <c r="E17" s="8" t="s">
        <v>129</v>
      </c>
      <c r="F17" s="8" t="str">
        <f t="shared" si="0"/>
        <v>WK1</v>
      </c>
      <c r="G17" s="9">
        <v>0</v>
      </c>
      <c r="H17" s="9">
        <v>0</v>
      </c>
      <c r="I17" s="9">
        <v>0</v>
      </c>
      <c r="J17" s="9">
        <v>0</v>
      </c>
      <c r="K17" s="9">
        <v>0</v>
      </c>
      <c r="L17" s="9">
        <v>0</v>
      </c>
      <c r="M17" s="9">
        <v>0.25</v>
      </c>
      <c r="N17" s="9">
        <v>0.75</v>
      </c>
      <c r="O17" s="9">
        <v>1</v>
      </c>
      <c r="P17" s="9">
        <v>1</v>
      </c>
      <c r="Q17" s="9">
        <v>1</v>
      </c>
      <c r="R17" s="9">
        <v>1</v>
      </c>
      <c r="S17" s="9">
        <v>1</v>
      </c>
      <c r="T17" s="9">
        <v>1</v>
      </c>
      <c r="U17" s="9">
        <v>0.75</v>
      </c>
      <c r="V17" s="9">
        <v>0.25</v>
      </c>
      <c r="W17" s="9">
        <v>0.25</v>
      </c>
      <c r="X17" s="9">
        <v>0.75</v>
      </c>
      <c r="Y17" s="9">
        <v>1</v>
      </c>
      <c r="Z17" s="9">
        <v>1</v>
      </c>
      <c r="AA17" s="9">
        <v>1</v>
      </c>
      <c r="AB17" s="9">
        <v>1</v>
      </c>
      <c r="AC17" s="9">
        <v>0.75</v>
      </c>
      <c r="AD17" s="9">
        <v>0.25</v>
      </c>
    </row>
    <row r="18" spans="1:30" ht="38.25" x14ac:dyDescent="0.2">
      <c r="A18" s="7">
        <v>1009</v>
      </c>
      <c r="B18" s="8" t="s">
        <v>104</v>
      </c>
      <c r="C18" s="8" t="s">
        <v>123</v>
      </c>
      <c r="D18" s="9">
        <v>0.28888888886666669</v>
      </c>
      <c r="E18" s="8" t="s">
        <v>130</v>
      </c>
      <c r="F18" s="8" t="str">
        <f t="shared" si="0"/>
        <v>WK1</v>
      </c>
      <c r="G18" s="9">
        <v>0</v>
      </c>
      <c r="H18" s="9">
        <v>0</v>
      </c>
      <c r="I18" s="9">
        <v>0</v>
      </c>
      <c r="J18" s="9">
        <v>0</v>
      </c>
      <c r="K18" s="9">
        <v>0</v>
      </c>
      <c r="L18" s="9">
        <v>0</v>
      </c>
      <c r="M18" s="9">
        <v>0</v>
      </c>
      <c r="N18" s="9">
        <v>0</v>
      </c>
      <c r="O18" s="9">
        <v>0</v>
      </c>
      <c r="P18" s="9">
        <v>0</v>
      </c>
      <c r="Q18" s="9">
        <v>0</v>
      </c>
      <c r="R18" s="9">
        <v>0.25</v>
      </c>
      <c r="S18" s="9">
        <v>1</v>
      </c>
      <c r="T18" s="9">
        <v>1</v>
      </c>
      <c r="U18" s="9">
        <v>0.75</v>
      </c>
      <c r="V18" s="9">
        <v>0</v>
      </c>
      <c r="W18" s="9">
        <v>0</v>
      </c>
      <c r="X18" s="9">
        <v>0</v>
      </c>
      <c r="Y18" s="9">
        <v>0</v>
      </c>
      <c r="Z18" s="9">
        <v>0</v>
      </c>
      <c r="AA18" s="9">
        <v>0</v>
      </c>
      <c r="AB18" s="9">
        <v>0</v>
      </c>
      <c r="AC18" s="9">
        <v>0</v>
      </c>
      <c r="AD18" s="9">
        <v>0</v>
      </c>
    </row>
    <row r="19" spans="1:30" ht="51" hidden="1" x14ac:dyDescent="0.2">
      <c r="A19" s="7">
        <v>1010</v>
      </c>
      <c r="B19" s="8" t="s">
        <v>106</v>
      </c>
      <c r="C19" s="8" t="s">
        <v>123</v>
      </c>
      <c r="D19" s="9">
        <v>6.8055555555555564E-2</v>
      </c>
      <c r="E19" s="8" t="s">
        <v>131</v>
      </c>
      <c r="F19" s="8" t="str">
        <f t="shared" si="0"/>
        <v>Wk1</v>
      </c>
      <c r="G19" s="9">
        <v>0</v>
      </c>
      <c r="H19" s="9">
        <v>0</v>
      </c>
      <c r="I19" s="9">
        <v>0</v>
      </c>
      <c r="J19" s="9">
        <v>0</v>
      </c>
      <c r="K19" s="9">
        <v>0</v>
      </c>
      <c r="L19" s="9">
        <v>0</v>
      </c>
      <c r="M19" s="9">
        <v>0</v>
      </c>
      <c r="N19" s="9">
        <v>0.25</v>
      </c>
      <c r="O19" s="9">
        <v>0.5</v>
      </c>
      <c r="P19" s="9">
        <v>1</v>
      </c>
      <c r="Q19" s="9">
        <v>1</v>
      </c>
      <c r="R19" s="9">
        <v>1</v>
      </c>
      <c r="S19" s="9">
        <v>0.75</v>
      </c>
      <c r="T19" s="9">
        <v>0.75</v>
      </c>
      <c r="U19" s="9">
        <v>1</v>
      </c>
      <c r="V19" s="9">
        <v>1</v>
      </c>
      <c r="W19" s="9">
        <v>1</v>
      </c>
      <c r="X19" s="9">
        <v>0.5</v>
      </c>
      <c r="Y19" s="9">
        <v>0.25</v>
      </c>
      <c r="Z19" s="9">
        <v>0</v>
      </c>
      <c r="AA19" s="9">
        <v>0</v>
      </c>
      <c r="AB19" s="9">
        <v>0</v>
      </c>
      <c r="AC19" s="9">
        <v>0</v>
      </c>
      <c r="AD19" s="9">
        <v>0</v>
      </c>
    </row>
    <row r="20" spans="1:30" ht="38.25" hidden="1" x14ac:dyDescent="0.2">
      <c r="A20" s="7">
        <v>1012</v>
      </c>
      <c r="B20" s="8" t="s">
        <v>275</v>
      </c>
      <c r="C20" s="8" t="s">
        <v>132</v>
      </c>
      <c r="D20" s="9">
        <v>0.12466666666666666</v>
      </c>
      <c r="E20" s="8" t="s">
        <v>133</v>
      </c>
      <c r="F20" s="8" t="str">
        <f t="shared" si="0"/>
        <v>Wk1</v>
      </c>
      <c r="G20" s="9">
        <v>0</v>
      </c>
      <c r="H20" s="9">
        <v>0</v>
      </c>
      <c r="I20" s="9">
        <v>0</v>
      </c>
      <c r="J20" s="9">
        <v>0</v>
      </c>
      <c r="K20" s="9">
        <v>0</v>
      </c>
      <c r="L20" s="9">
        <v>0</v>
      </c>
      <c r="M20" s="9">
        <v>0</v>
      </c>
      <c r="N20" s="9">
        <v>0.25</v>
      </c>
      <c r="O20" s="9">
        <v>0.5</v>
      </c>
      <c r="P20" s="9">
        <v>1</v>
      </c>
      <c r="Q20" s="9">
        <v>1</v>
      </c>
      <c r="R20" s="9">
        <v>1</v>
      </c>
      <c r="S20" s="9">
        <v>0.75</v>
      </c>
      <c r="T20" s="9">
        <v>0.75</v>
      </c>
      <c r="U20" s="9">
        <v>1</v>
      </c>
      <c r="V20" s="9">
        <v>1</v>
      </c>
      <c r="W20" s="9">
        <v>1</v>
      </c>
      <c r="X20" s="9">
        <v>0.5</v>
      </c>
      <c r="Y20" s="9">
        <v>0.25</v>
      </c>
      <c r="Z20" s="9">
        <v>0</v>
      </c>
      <c r="AA20" s="9">
        <v>0</v>
      </c>
      <c r="AB20" s="9">
        <v>0</v>
      </c>
      <c r="AC20" s="9">
        <v>0</v>
      </c>
      <c r="AD20" s="9">
        <v>0</v>
      </c>
    </row>
    <row r="21" spans="1:30" ht="38.25" hidden="1" x14ac:dyDescent="0.2">
      <c r="A21" s="7">
        <v>1013</v>
      </c>
      <c r="B21" s="8" t="s">
        <v>134</v>
      </c>
      <c r="C21" s="8" t="s">
        <v>135</v>
      </c>
      <c r="D21" s="9">
        <v>0.18333333333333329</v>
      </c>
      <c r="E21" s="8" t="s">
        <v>136</v>
      </c>
      <c r="F21" s="8" t="str">
        <f t="shared" si="0"/>
        <v>WK1</v>
      </c>
      <c r="G21" s="9">
        <v>0</v>
      </c>
      <c r="H21" s="9">
        <v>0</v>
      </c>
      <c r="I21" s="9">
        <v>0</v>
      </c>
      <c r="J21" s="9">
        <v>0</v>
      </c>
      <c r="K21" s="9">
        <v>0</v>
      </c>
      <c r="L21" s="9">
        <v>0</v>
      </c>
      <c r="M21" s="9">
        <v>0</v>
      </c>
      <c r="N21" s="9">
        <v>0</v>
      </c>
      <c r="O21" s="9">
        <v>0</v>
      </c>
      <c r="P21" s="9">
        <v>1</v>
      </c>
      <c r="Q21" s="9">
        <v>1</v>
      </c>
      <c r="R21" s="9">
        <v>1</v>
      </c>
      <c r="S21" s="9">
        <v>1</v>
      </c>
      <c r="T21" s="9">
        <v>1</v>
      </c>
      <c r="U21" s="9">
        <v>1</v>
      </c>
      <c r="V21" s="9">
        <v>1</v>
      </c>
      <c r="W21" s="9">
        <v>1</v>
      </c>
      <c r="X21" s="9">
        <v>1</v>
      </c>
      <c r="Y21" s="9">
        <v>1</v>
      </c>
      <c r="Z21" s="9">
        <v>1</v>
      </c>
      <c r="AA21" s="9">
        <v>1</v>
      </c>
      <c r="AB21" s="9">
        <v>0</v>
      </c>
      <c r="AC21" s="9">
        <v>0</v>
      </c>
      <c r="AD21" s="9">
        <v>0</v>
      </c>
    </row>
    <row r="22" spans="1:30" ht="38.25" hidden="1" x14ac:dyDescent="0.2">
      <c r="A22" s="7">
        <v>1014</v>
      </c>
      <c r="B22" s="8" t="s">
        <v>426</v>
      </c>
      <c r="C22" s="8" t="s">
        <v>135</v>
      </c>
      <c r="D22" s="9">
        <v>9.4432653061224503E-2</v>
      </c>
      <c r="E22" s="8" t="s">
        <v>137</v>
      </c>
      <c r="F22" s="8" t="str">
        <f t="shared" si="0"/>
        <v>WK1</v>
      </c>
      <c r="G22" s="9">
        <v>1</v>
      </c>
      <c r="H22" s="9">
        <v>1</v>
      </c>
      <c r="I22" s="9">
        <v>1</v>
      </c>
      <c r="J22" s="9">
        <v>1</v>
      </c>
      <c r="K22" s="9">
        <v>1</v>
      </c>
      <c r="L22" s="9">
        <v>1</v>
      </c>
      <c r="M22" s="9">
        <v>1</v>
      </c>
      <c r="N22" s="9">
        <v>0.5</v>
      </c>
      <c r="O22" s="9">
        <v>0.25</v>
      </c>
      <c r="P22" s="9">
        <v>0</v>
      </c>
      <c r="Q22" s="9">
        <v>0</v>
      </c>
      <c r="R22" s="9">
        <v>0</v>
      </c>
      <c r="S22" s="9">
        <v>0</v>
      </c>
      <c r="T22" s="9">
        <v>0</v>
      </c>
      <c r="U22" s="9">
        <v>0</v>
      </c>
      <c r="V22" s="9">
        <v>0</v>
      </c>
      <c r="W22" s="9">
        <v>0</v>
      </c>
      <c r="X22" s="9">
        <v>0</v>
      </c>
      <c r="Y22" s="9">
        <v>0</v>
      </c>
      <c r="Z22" s="9">
        <v>0</v>
      </c>
      <c r="AA22" s="9">
        <v>0</v>
      </c>
      <c r="AB22" s="9">
        <v>0</v>
      </c>
      <c r="AC22" s="9">
        <v>0.25</v>
      </c>
      <c r="AD22" s="9">
        <v>0.75</v>
      </c>
    </row>
    <row r="23" spans="1:30" ht="38.25" hidden="1" x14ac:dyDescent="0.2">
      <c r="A23" s="7">
        <v>1015</v>
      </c>
      <c r="B23" s="8" t="s">
        <v>127</v>
      </c>
      <c r="C23" s="8" t="s">
        <v>135</v>
      </c>
      <c r="D23" s="9">
        <v>0.11905263157894741</v>
      </c>
      <c r="E23" s="8" t="s">
        <v>138</v>
      </c>
      <c r="F23" s="8" t="str">
        <f t="shared" si="0"/>
        <v>WK1</v>
      </c>
      <c r="G23" s="9">
        <v>0</v>
      </c>
      <c r="H23" s="9">
        <v>0</v>
      </c>
      <c r="I23" s="9">
        <v>0</v>
      </c>
      <c r="J23" s="9">
        <v>0</v>
      </c>
      <c r="K23" s="9">
        <v>0</v>
      </c>
      <c r="L23" s="9">
        <v>0</v>
      </c>
      <c r="M23" s="9">
        <v>0</v>
      </c>
      <c r="N23" s="9">
        <v>0</v>
      </c>
      <c r="O23" s="9">
        <v>0</v>
      </c>
      <c r="P23" s="9">
        <v>1</v>
      </c>
      <c r="Q23" s="9">
        <v>1</v>
      </c>
      <c r="R23" s="9">
        <v>1</v>
      </c>
      <c r="S23" s="9">
        <v>1</v>
      </c>
      <c r="T23" s="9">
        <v>1</v>
      </c>
      <c r="U23" s="9">
        <v>1</v>
      </c>
      <c r="V23" s="9">
        <v>1</v>
      </c>
      <c r="W23" s="9">
        <v>1</v>
      </c>
      <c r="X23" s="9">
        <v>1</v>
      </c>
      <c r="Y23" s="9">
        <v>1</v>
      </c>
      <c r="Z23" s="9">
        <v>1</v>
      </c>
      <c r="AA23" s="9">
        <v>1</v>
      </c>
      <c r="AB23" s="9">
        <v>0</v>
      </c>
      <c r="AC23" s="9">
        <v>0</v>
      </c>
      <c r="AD23" s="9">
        <v>0</v>
      </c>
    </row>
    <row r="24" spans="1:30" ht="51" hidden="1" x14ac:dyDescent="0.2">
      <c r="A24" s="7">
        <v>1016</v>
      </c>
      <c r="B24" s="8" t="s">
        <v>420</v>
      </c>
      <c r="C24" s="8" t="s">
        <v>135</v>
      </c>
      <c r="D24" s="9">
        <v>0.11472392638036813</v>
      </c>
      <c r="E24" s="8" t="s">
        <v>427</v>
      </c>
      <c r="F24" s="8" t="str">
        <f t="shared" si="0"/>
        <v>WK1</v>
      </c>
      <c r="G24" s="9">
        <v>0</v>
      </c>
      <c r="H24" s="9">
        <v>0</v>
      </c>
      <c r="I24" s="9">
        <v>0</v>
      </c>
      <c r="J24" s="9">
        <v>0</v>
      </c>
      <c r="K24" s="9">
        <v>0</v>
      </c>
      <c r="L24" s="9">
        <v>0</v>
      </c>
      <c r="M24" s="9">
        <v>0</v>
      </c>
      <c r="N24" s="9">
        <v>1</v>
      </c>
      <c r="O24" s="9">
        <v>1</v>
      </c>
      <c r="P24" s="9">
        <v>1</v>
      </c>
      <c r="Q24" s="9">
        <v>1</v>
      </c>
      <c r="R24" s="9">
        <v>1</v>
      </c>
      <c r="S24" s="9">
        <v>1</v>
      </c>
      <c r="T24" s="9">
        <v>1</v>
      </c>
      <c r="U24" s="9">
        <v>1</v>
      </c>
      <c r="V24" s="9">
        <v>1</v>
      </c>
      <c r="W24" s="9">
        <v>1</v>
      </c>
      <c r="X24" s="9">
        <v>1</v>
      </c>
      <c r="Y24" s="9">
        <v>1</v>
      </c>
      <c r="Z24" s="9">
        <v>1</v>
      </c>
      <c r="AA24" s="9">
        <v>1</v>
      </c>
      <c r="AB24" s="9">
        <v>1</v>
      </c>
      <c r="AC24" s="9">
        <v>1</v>
      </c>
      <c r="AD24" s="9">
        <v>0.3</v>
      </c>
    </row>
    <row r="25" spans="1:30" ht="51" hidden="1" x14ac:dyDescent="0.2">
      <c r="A25" s="7">
        <v>1017</v>
      </c>
      <c r="B25" s="8" t="s">
        <v>273</v>
      </c>
      <c r="C25" s="8" t="s">
        <v>135</v>
      </c>
      <c r="D25" s="9">
        <v>0.10803571428571428</v>
      </c>
      <c r="E25" s="8" t="s">
        <v>139</v>
      </c>
      <c r="F25" s="8" t="str">
        <f t="shared" si="0"/>
        <v>WK1</v>
      </c>
      <c r="G25" s="9">
        <v>0</v>
      </c>
      <c r="H25" s="9">
        <v>0</v>
      </c>
      <c r="I25" s="9">
        <v>0</v>
      </c>
      <c r="J25" s="9">
        <v>0</v>
      </c>
      <c r="K25" s="9">
        <v>0</v>
      </c>
      <c r="L25" s="9">
        <v>0</v>
      </c>
      <c r="M25" s="9">
        <v>0.25</v>
      </c>
      <c r="N25" s="9">
        <v>0.75</v>
      </c>
      <c r="O25" s="9">
        <v>1</v>
      </c>
      <c r="P25" s="9">
        <v>1</v>
      </c>
      <c r="Q25" s="9">
        <v>1</v>
      </c>
      <c r="R25" s="9">
        <v>1</v>
      </c>
      <c r="S25" s="9">
        <v>1</v>
      </c>
      <c r="T25" s="9">
        <v>1</v>
      </c>
      <c r="U25" s="9">
        <v>0.75</v>
      </c>
      <c r="V25" s="9">
        <v>0.25</v>
      </c>
      <c r="W25" s="9">
        <v>0.25</v>
      </c>
      <c r="X25" s="9">
        <v>0.75</v>
      </c>
      <c r="Y25" s="9">
        <v>1</v>
      </c>
      <c r="Z25" s="9">
        <v>1</v>
      </c>
      <c r="AA25" s="9">
        <v>1</v>
      </c>
      <c r="AB25" s="9">
        <v>1</v>
      </c>
      <c r="AC25" s="9">
        <v>0.75</v>
      </c>
      <c r="AD25" s="9">
        <v>0.25</v>
      </c>
    </row>
    <row r="26" spans="1:30" ht="38.25" x14ac:dyDescent="0.2">
      <c r="A26" s="7">
        <v>1018</v>
      </c>
      <c r="B26" s="8" t="s">
        <v>104</v>
      </c>
      <c r="C26" s="8" t="s">
        <v>135</v>
      </c>
      <c r="D26" s="9">
        <v>0.18738738737297292</v>
      </c>
      <c r="E26" s="8" t="s">
        <v>140</v>
      </c>
      <c r="F26" s="8" t="str">
        <f t="shared" si="0"/>
        <v>WK1</v>
      </c>
      <c r="G26" s="9">
        <v>0</v>
      </c>
      <c r="H26" s="9">
        <v>0</v>
      </c>
      <c r="I26" s="9">
        <v>0</v>
      </c>
      <c r="J26" s="9">
        <v>0</v>
      </c>
      <c r="K26" s="9">
        <v>0</v>
      </c>
      <c r="L26" s="9">
        <v>0</v>
      </c>
      <c r="M26" s="9">
        <v>0</v>
      </c>
      <c r="N26" s="9">
        <v>0.25</v>
      </c>
      <c r="O26" s="9">
        <v>0.25</v>
      </c>
      <c r="P26" s="9">
        <v>0.5</v>
      </c>
      <c r="Q26" s="9">
        <v>0.5</v>
      </c>
      <c r="R26" s="9">
        <v>0.5</v>
      </c>
      <c r="S26" s="9">
        <v>1</v>
      </c>
      <c r="T26" s="9">
        <v>1</v>
      </c>
      <c r="U26" s="9">
        <v>0.5</v>
      </c>
      <c r="V26" s="9">
        <v>0.25</v>
      </c>
      <c r="W26" s="9">
        <v>0.25</v>
      </c>
      <c r="X26" s="9">
        <v>0.25</v>
      </c>
      <c r="Y26" s="9">
        <v>0.5</v>
      </c>
      <c r="Z26" s="9">
        <v>1</v>
      </c>
      <c r="AA26" s="9">
        <v>1</v>
      </c>
      <c r="AB26" s="9">
        <v>1</v>
      </c>
      <c r="AC26" s="9">
        <v>0.5</v>
      </c>
      <c r="AD26" s="9">
        <v>0</v>
      </c>
    </row>
    <row r="27" spans="1:30" ht="38.25" hidden="1" x14ac:dyDescent="0.2">
      <c r="A27" s="7">
        <v>1019</v>
      </c>
      <c r="B27" s="8" t="s">
        <v>85</v>
      </c>
      <c r="C27" s="8" t="s">
        <v>135</v>
      </c>
      <c r="D27" s="9">
        <v>0.14017543861960524</v>
      </c>
      <c r="E27" s="8" t="s">
        <v>141</v>
      </c>
      <c r="F27" s="8" t="str">
        <f t="shared" si="0"/>
        <v>Wk1</v>
      </c>
      <c r="G27" s="9">
        <v>0</v>
      </c>
      <c r="H27" s="9">
        <v>0</v>
      </c>
      <c r="I27" s="9">
        <v>0</v>
      </c>
      <c r="J27" s="9">
        <v>0</v>
      </c>
      <c r="K27" s="9">
        <v>0</v>
      </c>
      <c r="L27" s="9">
        <v>0</v>
      </c>
      <c r="M27" s="9">
        <v>0</v>
      </c>
      <c r="N27" s="9">
        <v>0</v>
      </c>
      <c r="O27" s="9">
        <v>0</v>
      </c>
      <c r="P27" s="9">
        <v>1</v>
      </c>
      <c r="Q27" s="9">
        <v>1</v>
      </c>
      <c r="R27" s="9">
        <v>1</v>
      </c>
      <c r="S27" s="9">
        <v>1</v>
      </c>
      <c r="T27" s="9">
        <v>1</v>
      </c>
      <c r="U27" s="9">
        <v>1</v>
      </c>
      <c r="V27" s="9">
        <v>1</v>
      </c>
      <c r="W27" s="9">
        <v>1</v>
      </c>
      <c r="X27" s="9">
        <v>1</v>
      </c>
      <c r="Y27" s="9">
        <v>1</v>
      </c>
      <c r="Z27" s="9">
        <v>1</v>
      </c>
      <c r="AA27" s="9">
        <v>1</v>
      </c>
      <c r="AB27" s="9">
        <v>0</v>
      </c>
      <c r="AC27" s="9">
        <v>0</v>
      </c>
      <c r="AD27" s="9">
        <v>0</v>
      </c>
    </row>
    <row r="28" spans="1:30" ht="38.25" hidden="1" x14ac:dyDescent="0.2">
      <c r="A28" s="7">
        <v>1020</v>
      </c>
      <c r="B28" s="8" t="s">
        <v>275</v>
      </c>
      <c r="C28" s="8" t="s">
        <v>135</v>
      </c>
      <c r="D28" s="9">
        <v>0.12100000000000005</v>
      </c>
      <c r="E28" s="8" t="s">
        <v>142</v>
      </c>
      <c r="F28" s="8" t="str">
        <f t="shared" si="0"/>
        <v>Wk1</v>
      </c>
      <c r="G28" s="9">
        <v>0</v>
      </c>
      <c r="H28" s="9">
        <v>0</v>
      </c>
      <c r="I28" s="9">
        <v>0</v>
      </c>
      <c r="J28" s="9">
        <v>0</v>
      </c>
      <c r="K28" s="9">
        <v>0</v>
      </c>
      <c r="L28" s="9">
        <v>0</v>
      </c>
      <c r="M28" s="9">
        <v>0</v>
      </c>
      <c r="N28" s="9">
        <v>0</v>
      </c>
      <c r="O28" s="9">
        <v>1</v>
      </c>
      <c r="P28" s="9">
        <v>1</v>
      </c>
      <c r="Q28" s="9">
        <v>1</v>
      </c>
      <c r="R28" s="9">
        <v>1</v>
      </c>
      <c r="S28" s="9">
        <v>1</v>
      </c>
      <c r="T28" s="9">
        <v>1</v>
      </c>
      <c r="U28" s="9">
        <v>1</v>
      </c>
      <c r="V28" s="9">
        <v>1</v>
      </c>
      <c r="W28" s="9">
        <v>1</v>
      </c>
      <c r="X28" s="9">
        <v>1</v>
      </c>
      <c r="Y28" s="9">
        <v>0</v>
      </c>
      <c r="Z28" s="9">
        <v>0</v>
      </c>
      <c r="AA28" s="9">
        <v>0</v>
      </c>
      <c r="AB28" s="9">
        <v>0</v>
      </c>
      <c r="AC28" s="9">
        <v>0</v>
      </c>
      <c r="AD28" s="9">
        <v>0</v>
      </c>
    </row>
    <row r="29" spans="1:30" ht="38.25" hidden="1" x14ac:dyDescent="0.2">
      <c r="A29" s="7">
        <v>1021</v>
      </c>
      <c r="B29" s="8" t="s">
        <v>423</v>
      </c>
      <c r="C29" s="8" t="s">
        <v>135</v>
      </c>
      <c r="D29" s="9">
        <v>0.11</v>
      </c>
      <c r="E29" s="8" t="s">
        <v>428</v>
      </c>
      <c r="F29" s="8" t="str">
        <f t="shared" si="0"/>
        <v>WK1</v>
      </c>
      <c r="G29" s="9">
        <v>0</v>
      </c>
      <c r="H29" s="9">
        <v>0</v>
      </c>
      <c r="I29" s="9">
        <v>0</v>
      </c>
      <c r="J29" s="9">
        <v>0</v>
      </c>
      <c r="K29" s="9">
        <v>0</v>
      </c>
      <c r="L29" s="9">
        <v>0</v>
      </c>
      <c r="M29" s="9">
        <v>0</v>
      </c>
      <c r="N29" s="9">
        <v>0</v>
      </c>
      <c r="O29" s="9">
        <v>0</v>
      </c>
      <c r="P29" s="9">
        <v>0</v>
      </c>
      <c r="Q29" s="9">
        <v>0</v>
      </c>
      <c r="R29" s="9">
        <v>0</v>
      </c>
      <c r="S29" s="9">
        <v>0</v>
      </c>
      <c r="T29" s="9">
        <v>0</v>
      </c>
      <c r="U29" s="9">
        <v>0</v>
      </c>
      <c r="V29" s="9">
        <v>0</v>
      </c>
      <c r="W29" s="9">
        <v>0</v>
      </c>
      <c r="X29" s="9">
        <v>0</v>
      </c>
      <c r="Y29" s="9">
        <v>0</v>
      </c>
      <c r="Z29" s="9">
        <v>0</v>
      </c>
      <c r="AA29" s="9">
        <v>0</v>
      </c>
      <c r="AB29" s="9">
        <v>0</v>
      </c>
      <c r="AC29" s="9">
        <v>0</v>
      </c>
      <c r="AD29" s="9">
        <v>0</v>
      </c>
    </row>
    <row r="30" spans="1:30" ht="51" hidden="1" x14ac:dyDescent="0.2">
      <c r="A30" s="7">
        <v>1022</v>
      </c>
      <c r="B30" s="8" t="s">
        <v>286</v>
      </c>
      <c r="C30" s="8" t="s">
        <v>135</v>
      </c>
      <c r="D30" s="9">
        <v>0.10460122699386505</v>
      </c>
      <c r="E30" s="8" t="s">
        <v>143</v>
      </c>
      <c r="F30" s="8" t="str">
        <f t="shared" si="0"/>
        <v>WK1</v>
      </c>
      <c r="G30" s="9">
        <v>0</v>
      </c>
      <c r="H30" s="9">
        <v>0</v>
      </c>
      <c r="I30" s="9">
        <v>0</v>
      </c>
      <c r="J30" s="9">
        <v>0</v>
      </c>
      <c r="K30" s="9">
        <v>0</v>
      </c>
      <c r="L30" s="9">
        <v>0</v>
      </c>
      <c r="M30" s="9">
        <v>0</v>
      </c>
      <c r="N30" s="9">
        <v>1</v>
      </c>
      <c r="O30" s="9">
        <v>1</v>
      </c>
      <c r="P30" s="9">
        <v>1</v>
      </c>
      <c r="Q30" s="9">
        <v>1</v>
      </c>
      <c r="R30" s="9">
        <v>1</v>
      </c>
      <c r="S30" s="9">
        <v>1</v>
      </c>
      <c r="T30" s="9">
        <v>1</v>
      </c>
      <c r="U30" s="9">
        <v>1</v>
      </c>
      <c r="V30" s="9">
        <v>1</v>
      </c>
      <c r="W30" s="9">
        <v>1</v>
      </c>
      <c r="X30" s="9">
        <v>1</v>
      </c>
      <c r="Y30" s="9">
        <v>1</v>
      </c>
      <c r="Z30" s="9">
        <v>1</v>
      </c>
      <c r="AA30" s="9">
        <v>1</v>
      </c>
      <c r="AB30" s="9">
        <v>1</v>
      </c>
      <c r="AC30" s="9">
        <v>1</v>
      </c>
      <c r="AD30" s="9">
        <v>0.3</v>
      </c>
    </row>
    <row r="31" spans="1:30" ht="38.25" hidden="1" x14ac:dyDescent="0.2">
      <c r="A31" s="7">
        <v>1023</v>
      </c>
      <c r="B31" s="8" t="s">
        <v>370</v>
      </c>
      <c r="C31" s="8" t="s">
        <v>135</v>
      </c>
      <c r="D31" s="9">
        <v>0.11785714285714285</v>
      </c>
      <c r="E31" s="8" t="s">
        <v>429</v>
      </c>
      <c r="F31" s="8" t="str">
        <f t="shared" si="0"/>
        <v>WK1</v>
      </c>
      <c r="G31" s="9">
        <v>0</v>
      </c>
      <c r="H31" s="9">
        <v>0</v>
      </c>
      <c r="I31" s="9">
        <v>0</v>
      </c>
      <c r="J31" s="9">
        <v>0</v>
      </c>
      <c r="K31" s="9">
        <v>0</v>
      </c>
      <c r="L31" s="9">
        <v>0</v>
      </c>
      <c r="M31" s="9">
        <v>0</v>
      </c>
      <c r="N31" s="9">
        <v>1</v>
      </c>
      <c r="O31" s="9">
        <v>1</v>
      </c>
      <c r="P31" s="9">
        <v>1</v>
      </c>
      <c r="Q31" s="9">
        <v>1</v>
      </c>
      <c r="R31" s="9">
        <v>1</v>
      </c>
      <c r="S31" s="9">
        <v>1</v>
      </c>
      <c r="T31" s="9">
        <v>1</v>
      </c>
      <c r="U31" s="9">
        <v>1</v>
      </c>
      <c r="V31" s="9">
        <v>1</v>
      </c>
      <c r="W31" s="9">
        <v>1</v>
      </c>
      <c r="X31" s="9">
        <v>1</v>
      </c>
      <c r="Y31" s="9">
        <v>1</v>
      </c>
      <c r="Z31" s="9">
        <v>1</v>
      </c>
      <c r="AA31" s="9">
        <v>1</v>
      </c>
      <c r="AB31" s="9">
        <v>0</v>
      </c>
      <c r="AC31" s="9">
        <v>0</v>
      </c>
      <c r="AD31" s="9">
        <v>0</v>
      </c>
    </row>
    <row r="32" spans="1:30" ht="38.25" hidden="1" x14ac:dyDescent="0.2">
      <c r="A32" s="7">
        <v>1024</v>
      </c>
      <c r="B32" s="8" t="s">
        <v>366</v>
      </c>
      <c r="C32" s="8" t="s">
        <v>135</v>
      </c>
      <c r="D32" s="9">
        <v>0.13954166666666665</v>
      </c>
      <c r="E32" s="8" t="s">
        <v>144</v>
      </c>
      <c r="F32" s="8" t="str">
        <f t="shared" si="0"/>
        <v>WK1</v>
      </c>
      <c r="G32" s="9">
        <v>0</v>
      </c>
      <c r="H32" s="9">
        <v>0</v>
      </c>
      <c r="I32" s="9">
        <v>0</v>
      </c>
      <c r="J32" s="9">
        <v>0</v>
      </c>
      <c r="K32" s="9">
        <v>0</v>
      </c>
      <c r="L32" s="9">
        <v>0</v>
      </c>
      <c r="M32" s="9">
        <v>0</v>
      </c>
      <c r="N32" s="9">
        <v>0</v>
      </c>
      <c r="O32" s="9">
        <v>0</v>
      </c>
      <c r="P32" s="9">
        <v>1</v>
      </c>
      <c r="Q32" s="9">
        <v>1</v>
      </c>
      <c r="R32" s="9">
        <v>1</v>
      </c>
      <c r="S32" s="9">
        <v>1</v>
      </c>
      <c r="T32" s="9">
        <v>1</v>
      </c>
      <c r="U32" s="9">
        <v>1</v>
      </c>
      <c r="V32" s="9">
        <v>1</v>
      </c>
      <c r="W32" s="9">
        <v>1</v>
      </c>
      <c r="X32" s="9">
        <v>1</v>
      </c>
      <c r="Y32" s="9">
        <v>1</v>
      </c>
      <c r="Z32" s="9">
        <v>1</v>
      </c>
      <c r="AA32" s="9">
        <v>1</v>
      </c>
      <c r="AB32" s="9">
        <v>0</v>
      </c>
      <c r="AC32" s="9">
        <v>0</v>
      </c>
      <c r="AD32" s="9">
        <v>0</v>
      </c>
    </row>
    <row r="33" spans="1:30" ht="51" hidden="1" x14ac:dyDescent="0.2">
      <c r="A33" s="7">
        <v>1025</v>
      </c>
      <c r="B33" s="8" t="s">
        <v>367</v>
      </c>
      <c r="C33" s="8" t="s">
        <v>135</v>
      </c>
      <c r="D33" s="9">
        <v>4.1228070182236828E-2</v>
      </c>
      <c r="E33" s="8" t="s">
        <v>145</v>
      </c>
      <c r="F33" s="8" t="str">
        <f t="shared" si="0"/>
        <v>WK1</v>
      </c>
      <c r="G33" s="9">
        <v>0</v>
      </c>
      <c r="H33" s="9">
        <v>0</v>
      </c>
      <c r="I33" s="9">
        <v>0</v>
      </c>
      <c r="J33" s="9">
        <v>0</v>
      </c>
      <c r="K33" s="9">
        <v>0</v>
      </c>
      <c r="L33" s="9">
        <v>0</v>
      </c>
      <c r="M33" s="9">
        <v>0</v>
      </c>
      <c r="N33" s="9">
        <v>0</v>
      </c>
      <c r="O33" s="9">
        <v>0</v>
      </c>
      <c r="P33" s="9">
        <v>1</v>
      </c>
      <c r="Q33" s="9">
        <v>1</v>
      </c>
      <c r="R33" s="9">
        <v>1</v>
      </c>
      <c r="S33" s="9">
        <v>1</v>
      </c>
      <c r="T33" s="9">
        <v>1</v>
      </c>
      <c r="U33" s="9">
        <v>1</v>
      </c>
      <c r="V33" s="9">
        <v>1</v>
      </c>
      <c r="W33" s="9">
        <v>1</v>
      </c>
      <c r="X33" s="9">
        <v>1</v>
      </c>
      <c r="Y33" s="9">
        <v>1</v>
      </c>
      <c r="Z33" s="9">
        <v>1</v>
      </c>
      <c r="AA33" s="9">
        <v>1</v>
      </c>
      <c r="AB33" s="9">
        <v>0</v>
      </c>
      <c r="AC33" s="9">
        <v>0</v>
      </c>
      <c r="AD33" s="9">
        <v>0</v>
      </c>
    </row>
    <row r="34" spans="1:30" ht="38.25" hidden="1" x14ac:dyDescent="0.2">
      <c r="A34" s="7">
        <v>1026</v>
      </c>
      <c r="B34" s="8" t="s">
        <v>418</v>
      </c>
      <c r="C34" s="8" t="s">
        <v>135</v>
      </c>
      <c r="D34" s="9">
        <v>0.11</v>
      </c>
      <c r="E34" s="8" t="s">
        <v>430</v>
      </c>
      <c r="F34" s="8" t="str">
        <f t="shared" si="0"/>
        <v>WK1</v>
      </c>
      <c r="G34" s="9">
        <v>0</v>
      </c>
      <c r="H34" s="9">
        <v>0</v>
      </c>
      <c r="I34" s="9">
        <v>0</v>
      </c>
      <c r="J34" s="9">
        <v>0</v>
      </c>
      <c r="K34" s="9">
        <v>0</v>
      </c>
      <c r="L34" s="9">
        <v>0</v>
      </c>
      <c r="M34" s="9">
        <v>0</v>
      </c>
      <c r="N34" s="9">
        <v>1</v>
      </c>
      <c r="O34" s="9">
        <v>1</v>
      </c>
      <c r="P34" s="9">
        <v>1</v>
      </c>
      <c r="Q34" s="9">
        <v>1</v>
      </c>
      <c r="R34" s="9">
        <v>1</v>
      </c>
      <c r="S34" s="9">
        <v>1</v>
      </c>
      <c r="T34" s="9">
        <v>1</v>
      </c>
      <c r="U34" s="9">
        <v>1</v>
      </c>
      <c r="V34" s="9">
        <v>1</v>
      </c>
      <c r="W34" s="9">
        <v>1</v>
      </c>
      <c r="X34" s="9">
        <v>1</v>
      </c>
      <c r="Y34" s="9">
        <v>1</v>
      </c>
      <c r="Z34" s="9">
        <v>1</v>
      </c>
      <c r="AA34" s="9">
        <v>1</v>
      </c>
      <c r="AB34" s="9">
        <v>0</v>
      </c>
      <c r="AC34" s="9">
        <v>0</v>
      </c>
      <c r="AD34" s="9">
        <v>0</v>
      </c>
    </row>
    <row r="35" spans="1:30" ht="38.25" hidden="1" x14ac:dyDescent="0.2">
      <c r="A35" s="7">
        <v>1028</v>
      </c>
      <c r="B35" s="8" t="s">
        <v>425</v>
      </c>
      <c r="C35" s="8" t="s">
        <v>135</v>
      </c>
      <c r="D35" s="9">
        <v>0.10606666666666666</v>
      </c>
      <c r="E35" s="8" t="s">
        <v>146</v>
      </c>
      <c r="F35" s="8" t="str">
        <f t="shared" si="0"/>
        <v>WK1</v>
      </c>
      <c r="G35" s="9">
        <v>0</v>
      </c>
      <c r="H35" s="9">
        <v>0</v>
      </c>
      <c r="I35" s="9">
        <v>0</v>
      </c>
      <c r="J35" s="9">
        <v>0</v>
      </c>
      <c r="K35" s="9">
        <v>0</v>
      </c>
      <c r="L35" s="9">
        <v>0</v>
      </c>
      <c r="M35" s="9">
        <v>0</v>
      </c>
      <c r="N35" s="9">
        <v>0.25</v>
      </c>
      <c r="O35" s="9">
        <v>0.5</v>
      </c>
      <c r="P35" s="9">
        <v>1</v>
      </c>
      <c r="Q35" s="9">
        <v>1</v>
      </c>
      <c r="R35" s="9">
        <v>1</v>
      </c>
      <c r="S35" s="9">
        <v>0.75</v>
      </c>
      <c r="T35" s="9">
        <v>0.75</v>
      </c>
      <c r="U35" s="9">
        <v>1</v>
      </c>
      <c r="V35" s="9">
        <v>1</v>
      </c>
      <c r="W35" s="9">
        <v>1</v>
      </c>
      <c r="X35" s="9">
        <v>0.5</v>
      </c>
      <c r="Y35" s="9">
        <v>0.25</v>
      </c>
      <c r="Z35" s="9">
        <v>0</v>
      </c>
      <c r="AA35" s="9">
        <v>0</v>
      </c>
      <c r="AB35" s="9">
        <v>0</v>
      </c>
      <c r="AC35" s="9">
        <v>0</v>
      </c>
      <c r="AD35" s="9">
        <v>0</v>
      </c>
    </row>
    <row r="36" spans="1:30" ht="51" hidden="1" x14ac:dyDescent="0.2">
      <c r="A36" s="7">
        <v>1029</v>
      </c>
      <c r="B36" s="8" t="s">
        <v>369</v>
      </c>
      <c r="C36" s="8" t="s">
        <v>198</v>
      </c>
      <c r="D36" s="9">
        <v>0.12763963964756755</v>
      </c>
      <c r="E36" s="8" t="s">
        <v>431</v>
      </c>
      <c r="F36" s="8" t="str">
        <f t="shared" si="0"/>
        <v>WK1</v>
      </c>
      <c r="G36" s="9">
        <v>0</v>
      </c>
      <c r="H36" s="9">
        <v>0</v>
      </c>
      <c r="I36" s="9">
        <v>0</v>
      </c>
      <c r="J36" s="9">
        <v>0</v>
      </c>
      <c r="K36" s="9">
        <v>0</v>
      </c>
      <c r="L36" s="9">
        <v>0</v>
      </c>
      <c r="M36" s="9">
        <v>0</v>
      </c>
      <c r="N36" s="9">
        <v>0.25</v>
      </c>
      <c r="O36" s="9">
        <v>0.25</v>
      </c>
      <c r="P36" s="9">
        <v>0.5</v>
      </c>
      <c r="Q36" s="9">
        <v>0.5</v>
      </c>
      <c r="R36" s="9">
        <v>0.5</v>
      </c>
      <c r="S36" s="9">
        <v>1</v>
      </c>
      <c r="T36" s="9">
        <v>1</v>
      </c>
      <c r="U36" s="9">
        <v>0.5</v>
      </c>
      <c r="V36" s="9">
        <v>0.25</v>
      </c>
      <c r="W36" s="9">
        <v>0.25</v>
      </c>
      <c r="X36" s="9">
        <v>0.25</v>
      </c>
      <c r="Y36" s="9">
        <v>0.5</v>
      </c>
      <c r="Z36" s="9">
        <v>1</v>
      </c>
      <c r="AA36" s="9">
        <v>1</v>
      </c>
      <c r="AB36" s="9">
        <v>1</v>
      </c>
      <c r="AC36" s="9">
        <v>0.5</v>
      </c>
      <c r="AD36" s="9">
        <v>0</v>
      </c>
    </row>
    <row r="37" spans="1:30" ht="51" x14ac:dyDescent="0.2">
      <c r="A37" s="7">
        <v>1030</v>
      </c>
      <c r="B37" s="8" t="s">
        <v>104</v>
      </c>
      <c r="C37" s="8" t="s">
        <v>198</v>
      </c>
      <c r="D37" s="9">
        <v>0.2</v>
      </c>
      <c r="E37" s="8" t="s">
        <v>199</v>
      </c>
      <c r="F37" s="8" t="str">
        <f t="shared" si="0"/>
        <v>WK1</v>
      </c>
      <c r="G37" s="9">
        <v>0</v>
      </c>
      <c r="H37" s="9">
        <v>0</v>
      </c>
      <c r="I37" s="9">
        <v>0</v>
      </c>
      <c r="J37" s="9">
        <v>0</v>
      </c>
      <c r="K37" s="9">
        <v>0</v>
      </c>
      <c r="L37" s="9">
        <v>0</v>
      </c>
      <c r="M37" s="9">
        <v>0</v>
      </c>
      <c r="N37" s="9">
        <v>0.25</v>
      </c>
      <c r="O37" s="9">
        <v>0.25</v>
      </c>
      <c r="P37" s="9">
        <v>0.5</v>
      </c>
      <c r="Q37" s="9">
        <v>0.5</v>
      </c>
      <c r="R37" s="9">
        <v>0.5</v>
      </c>
      <c r="S37" s="9">
        <v>1</v>
      </c>
      <c r="T37" s="9">
        <v>1</v>
      </c>
      <c r="U37" s="9">
        <v>0.5</v>
      </c>
      <c r="V37" s="9">
        <v>0.25</v>
      </c>
      <c r="W37" s="9">
        <v>0.25</v>
      </c>
      <c r="X37" s="9">
        <v>0.25</v>
      </c>
      <c r="Y37" s="9">
        <v>0.5</v>
      </c>
      <c r="Z37" s="9">
        <v>1</v>
      </c>
      <c r="AA37" s="9">
        <v>1</v>
      </c>
      <c r="AB37" s="9">
        <v>1</v>
      </c>
      <c r="AC37" s="9">
        <v>0.5</v>
      </c>
      <c r="AD37" s="9">
        <v>0</v>
      </c>
    </row>
    <row r="38" spans="1:30" ht="51" hidden="1" x14ac:dyDescent="0.2">
      <c r="A38" s="7">
        <v>1031</v>
      </c>
      <c r="B38" s="8" t="s">
        <v>273</v>
      </c>
      <c r="C38" s="8" t="s">
        <v>198</v>
      </c>
      <c r="D38" s="9">
        <v>0.11</v>
      </c>
      <c r="E38" s="8" t="s">
        <v>200</v>
      </c>
      <c r="F38" s="8" t="str">
        <f t="shared" si="0"/>
        <v>WK1</v>
      </c>
      <c r="G38" s="9">
        <v>0</v>
      </c>
      <c r="H38" s="9">
        <v>0</v>
      </c>
      <c r="I38" s="9">
        <v>0</v>
      </c>
      <c r="J38" s="9">
        <v>0</v>
      </c>
      <c r="K38" s="9">
        <v>0</v>
      </c>
      <c r="L38" s="9">
        <v>0</v>
      </c>
      <c r="M38" s="9">
        <v>0.25</v>
      </c>
      <c r="N38" s="9">
        <v>0.75</v>
      </c>
      <c r="O38" s="9">
        <v>1</v>
      </c>
      <c r="P38" s="9">
        <v>1</v>
      </c>
      <c r="Q38" s="9">
        <v>1</v>
      </c>
      <c r="R38" s="9">
        <v>1</v>
      </c>
      <c r="S38" s="9">
        <v>1</v>
      </c>
      <c r="T38" s="9">
        <v>1</v>
      </c>
      <c r="U38" s="9">
        <v>0.75</v>
      </c>
      <c r="V38" s="9">
        <v>0.25</v>
      </c>
      <c r="W38" s="9">
        <v>0.25</v>
      </c>
      <c r="X38" s="9">
        <v>0.75</v>
      </c>
      <c r="Y38" s="9">
        <v>1</v>
      </c>
      <c r="Z38" s="9">
        <v>1</v>
      </c>
      <c r="AA38" s="9">
        <v>1</v>
      </c>
      <c r="AB38" s="9">
        <v>1</v>
      </c>
      <c r="AC38" s="9">
        <v>0.75</v>
      </c>
      <c r="AD38" s="9">
        <v>0.25</v>
      </c>
    </row>
    <row r="39" spans="1:30" ht="51" hidden="1" x14ac:dyDescent="0.2">
      <c r="A39" s="7">
        <v>1032</v>
      </c>
      <c r="B39" s="8" t="s">
        <v>418</v>
      </c>
      <c r="C39" s="8" t="s">
        <v>198</v>
      </c>
      <c r="D39" s="9">
        <v>0.12375</v>
      </c>
      <c r="E39" s="8" t="s">
        <v>432</v>
      </c>
      <c r="F39" s="8" t="str">
        <f t="shared" si="0"/>
        <v>WK1</v>
      </c>
      <c r="G39" s="9">
        <v>0</v>
      </c>
      <c r="H39" s="9">
        <v>0</v>
      </c>
      <c r="I39" s="9">
        <v>0</v>
      </c>
      <c r="J39" s="9">
        <v>0</v>
      </c>
      <c r="K39" s="9">
        <v>0</v>
      </c>
      <c r="L39" s="9">
        <v>0</v>
      </c>
      <c r="M39" s="9">
        <v>0</v>
      </c>
      <c r="N39" s="9">
        <v>0</v>
      </c>
      <c r="O39" s="9">
        <v>0</v>
      </c>
      <c r="P39" s="9">
        <v>0.75</v>
      </c>
      <c r="Q39" s="9">
        <v>1</v>
      </c>
      <c r="R39" s="9">
        <v>1</v>
      </c>
      <c r="S39" s="9">
        <v>0.75</v>
      </c>
      <c r="T39" s="9">
        <v>0.75</v>
      </c>
      <c r="U39" s="9">
        <v>1</v>
      </c>
      <c r="V39" s="9">
        <v>1</v>
      </c>
      <c r="W39" s="9">
        <v>1</v>
      </c>
      <c r="X39" s="9">
        <v>0.75</v>
      </c>
      <c r="Y39" s="9">
        <v>0</v>
      </c>
      <c r="Z39" s="9">
        <v>0</v>
      </c>
      <c r="AA39" s="9">
        <v>0</v>
      </c>
      <c r="AB39" s="9">
        <v>0</v>
      </c>
      <c r="AC39" s="9">
        <v>0</v>
      </c>
      <c r="AD39" s="9">
        <v>0</v>
      </c>
    </row>
    <row r="40" spans="1:30" ht="51" hidden="1" x14ac:dyDescent="0.2">
      <c r="A40" s="7">
        <v>1033</v>
      </c>
      <c r="B40" s="8" t="s">
        <v>173</v>
      </c>
      <c r="C40" s="8" t="s">
        <v>198</v>
      </c>
      <c r="D40" s="9">
        <v>3.5924369747899157E-2</v>
      </c>
      <c r="E40" s="8" t="s">
        <v>201</v>
      </c>
      <c r="F40" s="8" t="str">
        <f t="shared" si="0"/>
        <v>WK1</v>
      </c>
      <c r="G40" s="9">
        <v>0</v>
      </c>
      <c r="H40" s="9">
        <v>0</v>
      </c>
      <c r="I40" s="9">
        <v>0</v>
      </c>
      <c r="J40" s="9">
        <v>0</v>
      </c>
      <c r="K40" s="9">
        <v>0</v>
      </c>
      <c r="L40" s="9">
        <v>0</v>
      </c>
      <c r="M40" s="9">
        <v>0</v>
      </c>
      <c r="N40" s="9">
        <v>0</v>
      </c>
      <c r="O40" s="9">
        <v>0</v>
      </c>
      <c r="P40" s="9">
        <v>0</v>
      </c>
      <c r="Q40" s="9">
        <v>0</v>
      </c>
      <c r="R40" s="9">
        <v>0</v>
      </c>
      <c r="S40" s="9">
        <v>0</v>
      </c>
      <c r="T40" s="9">
        <v>0</v>
      </c>
      <c r="U40" s="9">
        <v>0</v>
      </c>
      <c r="V40" s="9">
        <v>0</v>
      </c>
      <c r="W40" s="9">
        <v>0.5</v>
      </c>
      <c r="X40" s="9">
        <v>0.5</v>
      </c>
      <c r="Y40" s="9">
        <v>1</v>
      </c>
      <c r="Z40" s="9">
        <v>1</v>
      </c>
      <c r="AA40" s="9">
        <v>1</v>
      </c>
      <c r="AB40" s="9">
        <v>1</v>
      </c>
      <c r="AC40" s="9">
        <v>0.66666666699999999</v>
      </c>
      <c r="AD40" s="9">
        <v>0</v>
      </c>
    </row>
    <row r="41" spans="1:30" ht="51" hidden="1" x14ac:dyDescent="0.2">
      <c r="A41" s="7">
        <v>1034</v>
      </c>
      <c r="B41" s="8" t="s">
        <v>423</v>
      </c>
      <c r="C41" s="8" t="s">
        <v>198</v>
      </c>
      <c r="D41" s="9">
        <v>0.11</v>
      </c>
      <c r="E41" s="8" t="s">
        <v>433</v>
      </c>
      <c r="F41" s="8" t="str">
        <f t="shared" si="0"/>
        <v>WK1</v>
      </c>
      <c r="G41" s="9">
        <v>0</v>
      </c>
      <c r="H41" s="9">
        <v>0</v>
      </c>
      <c r="I41" s="9">
        <v>0</v>
      </c>
      <c r="J41" s="9">
        <v>0</v>
      </c>
      <c r="K41" s="9">
        <v>0</v>
      </c>
      <c r="L41" s="9">
        <v>0</v>
      </c>
      <c r="M41" s="9">
        <v>0</v>
      </c>
      <c r="N41" s="9">
        <v>0</v>
      </c>
      <c r="O41" s="9">
        <v>0</v>
      </c>
      <c r="P41" s="9">
        <v>0</v>
      </c>
      <c r="Q41" s="9">
        <v>0</v>
      </c>
      <c r="R41" s="9">
        <v>0</v>
      </c>
      <c r="S41" s="9">
        <v>0</v>
      </c>
      <c r="T41" s="9">
        <v>0</v>
      </c>
      <c r="U41" s="9">
        <v>0</v>
      </c>
      <c r="V41" s="9">
        <v>0</v>
      </c>
      <c r="W41" s="9">
        <v>0</v>
      </c>
      <c r="X41" s="9">
        <v>0</v>
      </c>
      <c r="Y41" s="9">
        <v>0</v>
      </c>
      <c r="Z41" s="9">
        <v>0</v>
      </c>
      <c r="AA41" s="9">
        <v>0</v>
      </c>
      <c r="AB41" s="9">
        <v>0</v>
      </c>
      <c r="AC41" s="9">
        <v>0</v>
      </c>
      <c r="AD41" s="9">
        <v>0</v>
      </c>
    </row>
    <row r="42" spans="1:30" ht="51" hidden="1" x14ac:dyDescent="0.2">
      <c r="A42" s="7">
        <v>1036</v>
      </c>
      <c r="B42" s="8" t="s">
        <v>370</v>
      </c>
      <c r="C42" s="8" t="s">
        <v>198</v>
      </c>
      <c r="D42" s="9">
        <v>8.8404907975460148E-2</v>
      </c>
      <c r="E42" s="8" t="s">
        <v>434</v>
      </c>
      <c r="F42" s="8" t="str">
        <f t="shared" si="0"/>
        <v>WK1</v>
      </c>
      <c r="G42" s="9">
        <v>0</v>
      </c>
      <c r="H42" s="9">
        <v>0</v>
      </c>
      <c r="I42" s="9">
        <v>0</v>
      </c>
      <c r="J42" s="9">
        <v>0</v>
      </c>
      <c r="K42" s="9">
        <v>0</v>
      </c>
      <c r="L42" s="9">
        <v>0</v>
      </c>
      <c r="M42" s="9">
        <v>0</v>
      </c>
      <c r="N42" s="9">
        <v>1</v>
      </c>
      <c r="O42" s="9">
        <v>1</v>
      </c>
      <c r="P42" s="9">
        <v>1</v>
      </c>
      <c r="Q42" s="9">
        <v>1</v>
      </c>
      <c r="R42" s="9">
        <v>1</v>
      </c>
      <c r="S42" s="9">
        <v>1</v>
      </c>
      <c r="T42" s="9">
        <v>1</v>
      </c>
      <c r="U42" s="9">
        <v>1</v>
      </c>
      <c r="V42" s="9">
        <v>1</v>
      </c>
      <c r="W42" s="9">
        <v>1</v>
      </c>
      <c r="X42" s="9">
        <v>1</v>
      </c>
      <c r="Y42" s="9">
        <v>1</v>
      </c>
      <c r="Z42" s="9">
        <v>1</v>
      </c>
      <c r="AA42" s="9">
        <v>1</v>
      </c>
      <c r="AB42" s="9">
        <v>1</v>
      </c>
      <c r="AC42" s="9">
        <v>1</v>
      </c>
      <c r="AD42" s="9">
        <v>0.3</v>
      </c>
    </row>
    <row r="43" spans="1:30" ht="51" hidden="1" x14ac:dyDescent="0.2">
      <c r="A43" s="7">
        <v>1038</v>
      </c>
      <c r="B43" s="8" t="s">
        <v>425</v>
      </c>
      <c r="C43" s="8" t="s">
        <v>198</v>
      </c>
      <c r="D43" s="9">
        <v>0.10943661971830985</v>
      </c>
      <c r="E43" s="8" t="s">
        <v>202</v>
      </c>
      <c r="F43" s="8" t="str">
        <f t="shared" si="0"/>
        <v>WK1</v>
      </c>
      <c r="G43" s="9">
        <v>0</v>
      </c>
      <c r="H43" s="9">
        <v>0</v>
      </c>
      <c r="I43" s="9">
        <v>0</v>
      </c>
      <c r="J43" s="9">
        <v>0</v>
      </c>
      <c r="K43" s="9">
        <v>0</v>
      </c>
      <c r="L43" s="9">
        <v>0</v>
      </c>
      <c r="M43" s="9">
        <v>0</v>
      </c>
      <c r="N43" s="9">
        <v>0.1</v>
      </c>
      <c r="O43" s="9">
        <v>0.25</v>
      </c>
      <c r="P43" s="9">
        <v>0.75</v>
      </c>
      <c r="Q43" s="9">
        <v>1</v>
      </c>
      <c r="R43" s="9">
        <v>1</v>
      </c>
      <c r="S43" s="9">
        <v>0.5</v>
      </c>
      <c r="T43" s="9">
        <v>0.5</v>
      </c>
      <c r="U43" s="9">
        <v>1</v>
      </c>
      <c r="V43" s="9">
        <v>1</v>
      </c>
      <c r="W43" s="9">
        <v>0.5</v>
      </c>
      <c r="X43" s="9">
        <v>0.5</v>
      </c>
      <c r="Y43" s="9">
        <v>0</v>
      </c>
      <c r="Z43" s="9">
        <v>0</v>
      </c>
      <c r="AA43" s="9">
        <v>0</v>
      </c>
      <c r="AB43" s="9">
        <v>0</v>
      </c>
      <c r="AC43" s="9">
        <v>0</v>
      </c>
      <c r="AD43" s="9">
        <v>0</v>
      </c>
    </row>
    <row r="44" spans="1:30" ht="51" hidden="1" x14ac:dyDescent="0.2">
      <c r="A44" s="7">
        <v>1039</v>
      </c>
      <c r="B44" s="8" t="s">
        <v>420</v>
      </c>
      <c r="C44" s="8" t="s">
        <v>203</v>
      </c>
      <c r="D44" s="9">
        <v>0.12375</v>
      </c>
      <c r="E44" s="8" t="s">
        <v>435</v>
      </c>
      <c r="F44" s="8" t="str">
        <f t="shared" si="0"/>
        <v>WK1</v>
      </c>
      <c r="G44" s="9">
        <v>0</v>
      </c>
      <c r="H44" s="9">
        <v>0</v>
      </c>
      <c r="I44" s="9">
        <v>0</v>
      </c>
      <c r="J44" s="9">
        <v>0</v>
      </c>
      <c r="K44" s="9">
        <v>0</v>
      </c>
      <c r="L44" s="9">
        <v>0</v>
      </c>
      <c r="M44" s="9">
        <v>0</v>
      </c>
      <c r="N44" s="9">
        <v>0</v>
      </c>
      <c r="O44" s="9">
        <v>0</v>
      </c>
      <c r="P44" s="9">
        <v>1</v>
      </c>
      <c r="Q44" s="9">
        <v>1</v>
      </c>
      <c r="R44" s="9">
        <v>1</v>
      </c>
      <c r="S44" s="9">
        <v>1</v>
      </c>
      <c r="T44" s="9">
        <v>1</v>
      </c>
      <c r="U44" s="9">
        <v>1</v>
      </c>
      <c r="V44" s="9">
        <v>1</v>
      </c>
      <c r="W44" s="9">
        <v>1</v>
      </c>
      <c r="X44" s="9">
        <v>0</v>
      </c>
      <c r="Y44" s="9">
        <v>0</v>
      </c>
      <c r="Z44" s="9">
        <v>0</v>
      </c>
      <c r="AA44" s="9">
        <v>0</v>
      </c>
      <c r="AB44" s="9">
        <v>0</v>
      </c>
      <c r="AC44" s="9">
        <v>0</v>
      </c>
      <c r="AD44" s="9">
        <v>0</v>
      </c>
    </row>
    <row r="45" spans="1:30" ht="51" x14ac:dyDescent="0.2">
      <c r="A45" s="7">
        <v>1040</v>
      </c>
      <c r="B45" s="8" t="s">
        <v>104</v>
      </c>
      <c r="C45" s="8" t="s">
        <v>203</v>
      </c>
      <c r="D45" s="9">
        <v>0.17777777773333334</v>
      </c>
      <c r="E45" s="8" t="s">
        <v>204</v>
      </c>
      <c r="F45" s="8" t="str">
        <f t="shared" si="0"/>
        <v>WK1</v>
      </c>
      <c r="G45" s="9">
        <v>0</v>
      </c>
      <c r="H45" s="9">
        <v>0</v>
      </c>
      <c r="I45" s="9">
        <v>0</v>
      </c>
      <c r="J45" s="9">
        <v>0</v>
      </c>
      <c r="K45" s="9">
        <v>0</v>
      </c>
      <c r="L45" s="9">
        <v>0</v>
      </c>
      <c r="M45" s="9">
        <v>0</v>
      </c>
      <c r="N45" s="9">
        <v>0</v>
      </c>
      <c r="O45" s="9">
        <v>0</v>
      </c>
      <c r="P45" s="9">
        <v>0</v>
      </c>
      <c r="Q45" s="9">
        <v>0</v>
      </c>
      <c r="R45" s="9">
        <v>0.25</v>
      </c>
      <c r="S45" s="9">
        <v>1</v>
      </c>
      <c r="T45" s="9">
        <v>1</v>
      </c>
      <c r="U45" s="9">
        <v>0.75</v>
      </c>
      <c r="V45" s="9">
        <v>0</v>
      </c>
      <c r="W45" s="9">
        <v>0</v>
      </c>
      <c r="X45" s="9">
        <v>0</v>
      </c>
      <c r="Y45" s="9">
        <v>0</v>
      </c>
      <c r="Z45" s="9">
        <v>0</v>
      </c>
      <c r="AA45" s="9">
        <v>0</v>
      </c>
      <c r="AB45" s="9">
        <v>0</v>
      </c>
      <c r="AC45" s="9">
        <v>0</v>
      </c>
      <c r="AD45" s="9">
        <v>0</v>
      </c>
    </row>
    <row r="46" spans="1:30" ht="51" hidden="1" x14ac:dyDescent="0.2">
      <c r="A46" s="7">
        <v>1041</v>
      </c>
      <c r="B46" s="8" t="s">
        <v>273</v>
      </c>
      <c r="C46" s="8" t="s">
        <v>203</v>
      </c>
      <c r="D46" s="9">
        <v>0.2126666666666667</v>
      </c>
      <c r="E46" s="8" t="s">
        <v>205</v>
      </c>
      <c r="F46" s="8" t="str">
        <f t="shared" si="0"/>
        <v>WK1</v>
      </c>
      <c r="G46" s="9">
        <v>0</v>
      </c>
      <c r="H46" s="9">
        <v>0</v>
      </c>
      <c r="I46" s="9">
        <v>0</v>
      </c>
      <c r="J46" s="9">
        <v>0</v>
      </c>
      <c r="K46" s="9">
        <v>0</v>
      </c>
      <c r="L46" s="9">
        <v>0</v>
      </c>
      <c r="M46" s="9">
        <v>0</v>
      </c>
      <c r="N46" s="9">
        <v>0</v>
      </c>
      <c r="O46" s="9">
        <v>0</v>
      </c>
      <c r="P46" s="9">
        <v>0</v>
      </c>
      <c r="Q46" s="9">
        <v>0</v>
      </c>
      <c r="R46" s="9">
        <v>0.25</v>
      </c>
      <c r="S46" s="9">
        <v>1</v>
      </c>
      <c r="T46" s="9">
        <v>1</v>
      </c>
      <c r="U46" s="9">
        <v>0.75</v>
      </c>
      <c r="V46" s="9">
        <v>0</v>
      </c>
      <c r="W46" s="9">
        <v>0</v>
      </c>
      <c r="X46" s="9">
        <v>0</v>
      </c>
      <c r="Y46" s="9">
        <v>0</v>
      </c>
      <c r="Z46" s="9">
        <v>0</v>
      </c>
      <c r="AA46" s="9">
        <v>0</v>
      </c>
      <c r="AB46" s="9">
        <v>0</v>
      </c>
      <c r="AC46" s="9">
        <v>0</v>
      </c>
      <c r="AD46" s="9">
        <v>0</v>
      </c>
    </row>
    <row r="47" spans="1:30" ht="51" hidden="1" x14ac:dyDescent="0.2">
      <c r="A47" s="7">
        <v>1042</v>
      </c>
      <c r="B47" s="8" t="s">
        <v>364</v>
      </c>
      <c r="C47" s="8" t="s">
        <v>203</v>
      </c>
      <c r="D47" s="9">
        <v>2.2459016393442617E-2</v>
      </c>
      <c r="E47" s="8" t="s">
        <v>206</v>
      </c>
      <c r="F47" s="8" t="str">
        <f t="shared" si="0"/>
        <v>Wk1</v>
      </c>
      <c r="G47" s="9">
        <v>0</v>
      </c>
      <c r="H47" s="9">
        <v>0</v>
      </c>
      <c r="I47" s="9">
        <v>0</v>
      </c>
      <c r="J47" s="9">
        <v>0</v>
      </c>
      <c r="K47" s="9">
        <v>0</v>
      </c>
      <c r="L47" s="9">
        <v>0</v>
      </c>
      <c r="M47" s="9">
        <v>0</v>
      </c>
      <c r="N47" s="9">
        <v>0.25</v>
      </c>
      <c r="O47" s="9">
        <v>0.5</v>
      </c>
      <c r="P47" s="9">
        <v>1</v>
      </c>
      <c r="Q47" s="9">
        <v>1</v>
      </c>
      <c r="R47" s="9">
        <v>1</v>
      </c>
      <c r="S47" s="9">
        <v>0.75</v>
      </c>
      <c r="T47" s="9">
        <v>0.75</v>
      </c>
      <c r="U47" s="9">
        <v>1</v>
      </c>
      <c r="V47" s="9">
        <v>1</v>
      </c>
      <c r="W47" s="9">
        <v>1</v>
      </c>
      <c r="X47" s="9">
        <v>0.5</v>
      </c>
      <c r="Y47" s="9">
        <v>0.25</v>
      </c>
      <c r="Z47" s="9">
        <v>0</v>
      </c>
      <c r="AA47" s="9">
        <v>0</v>
      </c>
      <c r="AB47" s="9">
        <v>0</v>
      </c>
      <c r="AC47" s="9">
        <v>0</v>
      </c>
      <c r="AD47" s="9">
        <v>0</v>
      </c>
    </row>
    <row r="48" spans="1:30" ht="38.25" hidden="1" x14ac:dyDescent="0.2">
      <c r="A48" s="7">
        <v>1043</v>
      </c>
      <c r="B48" s="8" t="s">
        <v>365</v>
      </c>
      <c r="C48" s="8" t="s">
        <v>203</v>
      </c>
      <c r="D48" s="9">
        <v>0.10694444444444444</v>
      </c>
      <c r="E48" s="8" t="s">
        <v>207</v>
      </c>
      <c r="F48" s="8" t="str">
        <f t="shared" si="0"/>
        <v>WK1</v>
      </c>
      <c r="G48" s="9">
        <v>0</v>
      </c>
      <c r="H48" s="9">
        <v>0</v>
      </c>
      <c r="I48" s="9">
        <v>0</v>
      </c>
      <c r="J48" s="9">
        <v>0</v>
      </c>
      <c r="K48" s="9">
        <v>0</v>
      </c>
      <c r="L48" s="9">
        <v>0</v>
      </c>
      <c r="M48" s="9">
        <v>0</v>
      </c>
      <c r="N48" s="9">
        <v>0.25</v>
      </c>
      <c r="O48" s="9">
        <v>0.5</v>
      </c>
      <c r="P48" s="9">
        <v>1</v>
      </c>
      <c r="Q48" s="9">
        <v>1</v>
      </c>
      <c r="R48" s="9">
        <v>1</v>
      </c>
      <c r="S48" s="9">
        <v>0.75</v>
      </c>
      <c r="T48" s="9">
        <v>0.75</v>
      </c>
      <c r="U48" s="9">
        <v>1</v>
      </c>
      <c r="V48" s="9">
        <v>1</v>
      </c>
      <c r="W48" s="9">
        <v>1</v>
      </c>
      <c r="X48" s="9">
        <v>0.5</v>
      </c>
      <c r="Y48" s="9">
        <v>0.25</v>
      </c>
      <c r="Z48" s="9">
        <v>0</v>
      </c>
      <c r="AA48" s="9">
        <v>0</v>
      </c>
      <c r="AB48" s="9">
        <v>0</v>
      </c>
      <c r="AC48" s="9">
        <v>0</v>
      </c>
      <c r="AD48" s="9">
        <v>0</v>
      </c>
    </row>
    <row r="49" spans="1:30" ht="38.25" hidden="1" x14ac:dyDescent="0.2">
      <c r="A49" s="7">
        <v>1044</v>
      </c>
      <c r="B49" s="8" t="s">
        <v>423</v>
      </c>
      <c r="C49" s="8" t="s">
        <v>203</v>
      </c>
      <c r="D49" s="9">
        <v>0.11</v>
      </c>
      <c r="E49" s="8" t="s">
        <v>436</v>
      </c>
      <c r="F49" s="8" t="str">
        <f t="shared" si="0"/>
        <v>WK1</v>
      </c>
      <c r="G49" s="9">
        <v>0</v>
      </c>
      <c r="H49" s="9">
        <v>0</v>
      </c>
      <c r="I49" s="9">
        <v>0</v>
      </c>
      <c r="J49" s="9">
        <v>0</v>
      </c>
      <c r="K49" s="9">
        <v>0</v>
      </c>
      <c r="L49" s="9">
        <v>0</v>
      </c>
      <c r="M49" s="9">
        <v>0</v>
      </c>
      <c r="N49" s="9">
        <v>0</v>
      </c>
      <c r="O49" s="9">
        <v>0</v>
      </c>
      <c r="P49" s="9">
        <v>0</v>
      </c>
      <c r="Q49" s="9">
        <v>0</v>
      </c>
      <c r="R49" s="9">
        <v>0</v>
      </c>
      <c r="S49" s="9">
        <v>0</v>
      </c>
      <c r="T49" s="9">
        <v>0</v>
      </c>
      <c r="U49" s="9">
        <v>0</v>
      </c>
      <c r="V49" s="9">
        <v>0</v>
      </c>
      <c r="W49" s="9">
        <v>0</v>
      </c>
      <c r="X49" s="9">
        <v>0</v>
      </c>
      <c r="Y49" s="9">
        <v>0</v>
      </c>
      <c r="Z49" s="9">
        <v>0</v>
      </c>
      <c r="AA49" s="9">
        <v>0</v>
      </c>
      <c r="AB49" s="9">
        <v>0</v>
      </c>
      <c r="AC49" s="9">
        <v>0</v>
      </c>
      <c r="AD49" s="9">
        <v>0</v>
      </c>
    </row>
    <row r="50" spans="1:30" ht="51" hidden="1" x14ac:dyDescent="0.2">
      <c r="A50" s="7">
        <v>1045</v>
      </c>
      <c r="B50" s="8" t="s">
        <v>286</v>
      </c>
      <c r="C50" s="8" t="s">
        <v>203</v>
      </c>
      <c r="D50" s="9">
        <v>0.11</v>
      </c>
      <c r="E50" s="8" t="s">
        <v>208</v>
      </c>
      <c r="F50" s="8" t="str">
        <f t="shared" si="0"/>
        <v>WK1</v>
      </c>
      <c r="G50" s="9">
        <v>0</v>
      </c>
      <c r="H50" s="9">
        <v>0</v>
      </c>
      <c r="I50" s="9">
        <v>0</v>
      </c>
      <c r="J50" s="9">
        <v>0</v>
      </c>
      <c r="K50" s="9">
        <v>0</v>
      </c>
      <c r="L50" s="9">
        <v>0</v>
      </c>
      <c r="M50" s="9">
        <v>0</v>
      </c>
      <c r="N50" s="9">
        <v>0</v>
      </c>
      <c r="O50" s="9">
        <v>0</v>
      </c>
      <c r="P50" s="9">
        <v>1</v>
      </c>
      <c r="Q50" s="9">
        <v>1</v>
      </c>
      <c r="R50" s="9">
        <v>1</v>
      </c>
      <c r="S50" s="9">
        <v>1</v>
      </c>
      <c r="T50" s="9">
        <v>1</v>
      </c>
      <c r="U50" s="9">
        <v>1</v>
      </c>
      <c r="V50" s="9">
        <v>1</v>
      </c>
      <c r="W50" s="9">
        <v>1</v>
      </c>
      <c r="X50" s="9">
        <v>0</v>
      </c>
      <c r="Y50" s="9">
        <v>0</v>
      </c>
      <c r="Z50" s="9">
        <v>0</v>
      </c>
      <c r="AA50" s="9">
        <v>0</v>
      </c>
      <c r="AB50" s="9">
        <v>0</v>
      </c>
      <c r="AC50" s="9">
        <v>0</v>
      </c>
      <c r="AD50" s="9">
        <v>0</v>
      </c>
    </row>
    <row r="51" spans="1:30" ht="38.25" hidden="1" x14ac:dyDescent="0.2">
      <c r="A51" s="7">
        <v>1046</v>
      </c>
      <c r="B51" s="8" t="s">
        <v>418</v>
      </c>
      <c r="C51" s="8" t="s">
        <v>203</v>
      </c>
      <c r="D51" s="9">
        <v>0.12375</v>
      </c>
      <c r="E51" s="8" t="s">
        <v>437</v>
      </c>
      <c r="F51" s="8" t="str">
        <f t="shared" si="0"/>
        <v>WK1</v>
      </c>
      <c r="G51" s="9">
        <v>0</v>
      </c>
      <c r="H51" s="9">
        <v>0</v>
      </c>
      <c r="I51" s="9">
        <v>0</v>
      </c>
      <c r="J51" s="9">
        <v>0</v>
      </c>
      <c r="K51" s="9">
        <v>0</v>
      </c>
      <c r="L51" s="9">
        <v>0</v>
      </c>
      <c r="M51" s="9">
        <v>0</v>
      </c>
      <c r="N51" s="9">
        <v>0</v>
      </c>
      <c r="O51" s="9">
        <v>0</v>
      </c>
      <c r="P51" s="9">
        <v>1</v>
      </c>
      <c r="Q51" s="9">
        <v>1</v>
      </c>
      <c r="R51" s="9">
        <v>1</v>
      </c>
      <c r="S51" s="9">
        <v>1</v>
      </c>
      <c r="T51" s="9">
        <v>1</v>
      </c>
      <c r="U51" s="9">
        <v>1</v>
      </c>
      <c r="V51" s="9">
        <v>1</v>
      </c>
      <c r="W51" s="9">
        <v>1</v>
      </c>
      <c r="X51" s="9">
        <v>0</v>
      </c>
      <c r="Y51" s="9">
        <v>0</v>
      </c>
      <c r="Z51" s="9">
        <v>0</v>
      </c>
      <c r="AA51" s="9">
        <v>0</v>
      </c>
      <c r="AB51" s="9">
        <v>0</v>
      </c>
      <c r="AC51" s="9">
        <v>0</v>
      </c>
      <c r="AD51" s="9">
        <v>0</v>
      </c>
    </row>
    <row r="52" spans="1:30" ht="38.25" hidden="1" x14ac:dyDescent="0.2">
      <c r="A52" s="7">
        <v>1049</v>
      </c>
      <c r="B52" s="8" t="s">
        <v>370</v>
      </c>
      <c r="C52" s="8" t="s">
        <v>203</v>
      </c>
      <c r="D52" s="9">
        <v>0.12375</v>
      </c>
      <c r="E52" s="8" t="s">
        <v>438</v>
      </c>
      <c r="F52" s="8" t="str">
        <f t="shared" si="0"/>
        <v>WK1</v>
      </c>
      <c r="G52" s="9">
        <v>0</v>
      </c>
      <c r="H52" s="9">
        <v>0</v>
      </c>
      <c r="I52" s="9">
        <v>0</v>
      </c>
      <c r="J52" s="9">
        <v>0</v>
      </c>
      <c r="K52" s="9">
        <v>0</v>
      </c>
      <c r="L52" s="9">
        <v>0</v>
      </c>
      <c r="M52" s="9">
        <v>0</v>
      </c>
      <c r="N52" s="9">
        <v>0</v>
      </c>
      <c r="O52" s="9">
        <v>0</v>
      </c>
      <c r="P52" s="9">
        <v>1</v>
      </c>
      <c r="Q52" s="9">
        <v>1</v>
      </c>
      <c r="R52" s="9">
        <v>1</v>
      </c>
      <c r="S52" s="9">
        <v>1</v>
      </c>
      <c r="T52" s="9">
        <v>1</v>
      </c>
      <c r="U52" s="9">
        <v>1</v>
      </c>
      <c r="V52" s="9">
        <v>1</v>
      </c>
      <c r="W52" s="9">
        <v>1</v>
      </c>
      <c r="X52" s="9">
        <v>0</v>
      </c>
      <c r="Y52" s="9">
        <v>0</v>
      </c>
      <c r="Z52" s="9">
        <v>0</v>
      </c>
      <c r="AA52" s="9">
        <v>0</v>
      </c>
      <c r="AB52" s="9">
        <v>0</v>
      </c>
      <c r="AC52" s="9">
        <v>0</v>
      </c>
      <c r="AD52" s="9">
        <v>0</v>
      </c>
    </row>
    <row r="53" spans="1:30" ht="51" hidden="1" x14ac:dyDescent="0.2">
      <c r="A53" s="7">
        <v>1050</v>
      </c>
      <c r="B53" s="8" t="s">
        <v>276</v>
      </c>
      <c r="C53" s="8" t="s">
        <v>203</v>
      </c>
      <c r="D53" s="9">
        <v>9.0123456790123443E-3</v>
      </c>
      <c r="E53" s="8" t="s">
        <v>209</v>
      </c>
      <c r="F53" s="8" t="str">
        <f t="shared" si="0"/>
        <v>Wk1</v>
      </c>
      <c r="G53" s="9">
        <v>0</v>
      </c>
      <c r="H53" s="9">
        <v>0</v>
      </c>
      <c r="I53" s="9">
        <v>0</v>
      </c>
      <c r="J53" s="9">
        <v>0</v>
      </c>
      <c r="K53" s="9">
        <v>0</v>
      </c>
      <c r="L53" s="9">
        <v>0</v>
      </c>
      <c r="M53" s="9">
        <v>0</v>
      </c>
      <c r="N53" s="9">
        <v>1</v>
      </c>
      <c r="O53" s="9">
        <v>1</v>
      </c>
      <c r="P53" s="9">
        <v>1</v>
      </c>
      <c r="Q53" s="9">
        <v>1</v>
      </c>
      <c r="R53" s="9">
        <v>1</v>
      </c>
      <c r="S53" s="9">
        <v>1</v>
      </c>
      <c r="T53" s="9">
        <v>1</v>
      </c>
      <c r="U53" s="9">
        <v>1</v>
      </c>
      <c r="V53" s="9">
        <v>1</v>
      </c>
      <c r="W53" s="9">
        <v>1</v>
      </c>
      <c r="X53" s="9">
        <v>1</v>
      </c>
      <c r="Y53" s="9">
        <v>1</v>
      </c>
      <c r="Z53" s="9">
        <v>1</v>
      </c>
      <c r="AA53" s="9">
        <v>0</v>
      </c>
      <c r="AB53" s="9">
        <v>0</v>
      </c>
      <c r="AC53" s="9">
        <v>0</v>
      </c>
      <c r="AD53" s="9">
        <v>0</v>
      </c>
    </row>
    <row r="54" spans="1:30" ht="38.25" hidden="1" x14ac:dyDescent="0.2">
      <c r="A54" s="7">
        <v>1052</v>
      </c>
      <c r="B54" s="8" t="s">
        <v>425</v>
      </c>
      <c r="C54" s="8" t="s">
        <v>203</v>
      </c>
      <c r="D54" s="9">
        <v>0.10791666666666665</v>
      </c>
      <c r="E54" s="8" t="s">
        <v>210</v>
      </c>
      <c r="F54" s="8" t="str">
        <f t="shared" si="0"/>
        <v>WK1</v>
      </c>
      <c r="G54" s="9">
        <v>0</v>
      </c>
      <c r="H54" s="9">
        <v>0</v>
      </c>
      <c r="I54" s="9">
        <v>0</v>
      </c>
      <c r="J54" s="9">
        <v>0</v>
      </c>
      <c r="K54" s="9">
        <v>0</v>
      </c>
      <c r="L54" s="9">
        <v>0</v>
      </c>
      <c r="M54" s="9">
        <v>0</v>
      </c>
      <c r="N54" s="9">
        <v>0.25</v>
      </c>
      <c r="O54" s="9">
        <v>0.5</v>
      </c>
      <c r="P54" s="9">
        <v>1</v>
      </c>
      <c r="Q54" s="9">
        <v>1</v>
      </c>
      <c r="R54" s="9">
        <v>1</v>
      </c>
      <c r="S54" s="9">
        <v>0.75</v>
      </c>
      <c r="T54" s="9">
        <v>0.75</v>
      </c>
      <c r="U54" s="9">
        <v>1</v>
      </c>
      <c r="V54" s="9">
        <v>1</v>
      </c>
      <c r="W54" s="9">
        <v>1</v>
      </c>
      <c r="X54" s="9">
        <v>0.5</v>
      </c>
      <c r="Y54" s="9">
        <v>0.25</v>
      </c>
      <c r="Z54" s="9">
        <v>0</v>
      </c>
      <c r="AA54" s="9">
        <v>0</v>
      </c>
      <c r="AB54" s="9">
        <v>0</v>
      </c>
      <c r="AC54" s="9">
        <v>0</v>
      </c>
      <c r="AD54" s="9">
        <v>0</v>
      </c>
    </row>
    <row r="55" spans="1:30" ht="51" hidden="1" x14ac:dyDescent="0.2">
      <c r="A55" s="7">
        <v>1053</v>
      </c>
      <c r="B55" s="8" t="s">
        <v>420</v>
      </c>
      <c r="C55" s="8" t="s">
        <v>211</v>
      </c>
      <c r="D55" s="9">
        <v>9.428571428571432E-2</v>
      </c>
      <c r="E55" s="8" t="s">
        <v>439</v>
      </c>
      <c r="F55" s="8" t="str">
        <f t="shared" si="0"/>
        <v>Wk1</v>
      </c>
      <c r="G55" s="9">
        <v>0</v>
      </c>
      <c r="H55" s="9">
        <v>0</v>
      </c>
      <c r="I55" s="9">
        <v>0</v>
      </c>
      <c r="J55" s="9">
        <v>0</v>
      </c>
      <c r="K55" s="9">
        <v>0</v>
      </c>
      <c r="L55" s="9">
        <v>0</v>
      </c>
      <c r="M55" s="9">
        <v>0</v>
      </c>
      <c r="N55" s="9">
        <v>0</v>
      </c>
      <c r="O55" s="9">
        <v>1</v>
      </c>
      <c r="P55" s="9">
        <v>1</v>
      </c>
      <c r="Q55" s="9">
        <v>1</v>
      </c>
      <c r="R55" s="9">
        <v>1</v>
      </c>
      <c r="S55" s="9">
        <v>1</v>
      </c>
      <c r="T55" s="9">
        <v>1</v>
      </c>
      <c r="U55" s="9">
        <v>1</v>
      </c>
      <c r="V55" s="9">
        <v>1</v>
      </c>
      <c r="W55" s="9">
        <v>1</v>
      </c>
      <c r="X55" s="9">
        <v>1</v>
      </c>
      <c r="Y55" s="9">
        <v>0</v>
      </c>
      <c r="Z55" s="9">
        <v>0</v>
      </c>
      <c r="AA55" s="9">
        <v>0</v>
      </c>
      <c r="AB55" s="9">
        <v>0</v>
      </c>
      <c r="AC55" s="9">
        <v>0</v>
      </c>
      <c r="AD55" s="9">
        <v>0</v>
      </c>
    </row>
    <row r="56" spans="1:30" ht="51" hidden="1" x14ac:dyDescent="0.2">
      <c r="A56" s="7">
        <v>1054</v>
      </c>
      <c r="B56" s="8" t="s">
        <v>273</v>
      </c>
      <c r="C56" s="8" t="s">
        <v>211</v>
      </c>
      <c r="D56" s="9">
        <v>0.12400306748466261</v>
      </c>
      <c r="E56" s="8" t="s">
        <v>212</v>
      </c>
      <c r="F56" s="8" t="str">
        <f t="shared" si="0"/>
        <v>Wk1</v>
      </c>
      <c r="G56" s="9">
        <v>0</v>
      </c>
      <c r="H56" s="9">
        <v>0</v>
      </c>
      <c r="I56" s="9">
        <v>0</v>
      </c>
      <c r="J56" s="9">
        <v>0</v>
      </c>
      <c r="K56" s="9">
        <v>0</v>
      </c>
      <c r="L56" s="9">
        <v>0</v>
      </c>
      <c r="M56" s="9">
        <v>0</v>
      </c>
      <c r="N56" s="9">
        <v>0</v>
      </c>
      <c r="O56" s="9">
        <v>0</v>
      </c>
      <c r="P56" s="9">
        <v>0.5</v>
      </c>
      <c r="Q56" s="9">
        <v>1</v>
      </c>
      <c r="R56" s="9">
        <v>1</v>
      </c>
      <c r="S56" s="9">
        <v>1</v>
      </c>
      <c r="T56" s="9">
        <v>0.75</v>
      </c>
      <c r="U56" s="9">
        <v>1</v>
      </c>
      <c r="V56" s="9">
        <v>0.75</v>
      </c>
      <c r="W56" s="9">
        <v>0</v>
      </c>
      <c r="X56" s="9">
        <v>0</v>
      </c>
      <c r="Y56" s="9">
        <v>0</v>
      </c>
      <c r="Z56" s="9">
        <v>0</v>
      </c>
      <c r="AA56" s="9">
        <v>0</v>
      </c>
      <c r="AB56" s="9">
        <v>0</v>
      </c>
      <c r="AC56" s="9">
        <v>0</v>
      </c>
      <c r="AD56" s="9">
        <v>0</v>
      </c>
    </row>
    <row r="57" spans="1:30" ht="76.5" x14ac:dyDescent="0.2">
      <c r="A57" s="7">
        <v>1055</v>
      </c>
      <c r="B57" s="8" t="s">
        <v>104</v>
      </c>
      <c r="C57" s="8" t="s">
        <v>211</v>
      </c>
      <c r="D57" s="9">
        <v>0.3579661016135593</v>
      </c>
      <c r="E57" s="8" t="s">
        <v>213</v>
      </c>
      <c r="F57" s="8" t="str">
        <f t="shared" si="0"/>
        <v>Wk1</v>
      </c>
      <c r="G57" s="9">
        <v>0</v>
      </c>
      <c r="H57" s="9">
        <v>0</v>
      </c>
      <c r="I57" s="9">
        <v>0</v>
      </c>
      <c r="J57" s="9">
        <v>0</v>
      </c>
      <c r="K57" s="9">
        <v>0</v>
      </c>
      <c r="L57" s="9">
        <v>0</v>
      </c>
      <c r="M57" s="9">
        <v>0</v>
      </c>
      <c r="N57" s="9">
        <v>0</v>
      </c>
      <c r="O57" s="9">
        <v>0</v>
      </c>
      <c r="P57" s="9">
        <v>0</v>
      </c>
      <c r="Q57" s="9">
        <v>0</v>
      </c>
      <c r="R57" s="9">
        <v>0.25</v>
      </c>
      <c r="S57" s="9">
        <v>1</v>
      </c>
      <c r="T57" s="9">
        <v>1</v>
      </c>
      <c r="U57" s="9">
        <v>0.75</v>
      </c>
      <c r="V57" s="9">
        <v>0</v>
      </c>
      <c r="W57" s="9">
        <v>0</v>
      </c>
      <c r="X57" s="9">
        <v>0</v>
      </c>
      <c r="Y57" s="9">
        <v>0</v>
      </c>
      <c r="Z57" s="9">
        <v>0</v>
      </c>
      <c r="AA57" s="9">
        <v>0</v>
      </c>
      <c r="AB57" s="9">
        <v>0</v>
      </c>
      <c r="AC57" s="9">
        <v>0</v>
      </c>
      <c r="AD57" s="9">
        <v>0</v>
      </c>
    </row>
    <row r="58" spans="1:30" ht="38.25" hidden="1" x14ac:dyDescent="0.2">
      <c r="A58" s="7">
        <v>1056</v>
      </c>
      <c r="B58" s="8" t="s">
        <v>423</v>
      </c>
      <c r="C58" s="8" t="s">
        <v>211</v>
      </c>
      <c r="D58" s="9">
        <v>0.10607142857142859</v>
      </c>
      <c r="E58" s="8" t="s">
        <v>440</v>
      </c>
      <c r="F58" s="8" t="str">
        <f t="shared" si="0"/>
        <v>Wk1</v>
      </c>
      <c r="G58" s="9">
        <v>0</v>
      </c>
      <c r="H58" s="9">
        <v>0</v>
      </c>
      <c r="I58" s="9">
        <v>0</v>
      </c>
      <c r="J58" s="9">
        <v>0</v>
      </c>
      <c r="K58" s="9">
        <v>0</v>
      </c>
      <c r="L58" s="9">
        <v>0</v>
      </c>
      <c r="M58" s="9">
        <v>0</v>
      </c>
      <c r="N58" s="9">
        <v>0</v>
      </c>
      <c r="O58" s="9">
        <v>0</v>
      </c>
      <c r="P58" s="9">
        <v>0</v>
      </c>
      <c r="Q58" s="9">
        <v>0</v>
      </c>
      <c r="R58" s="9">
        <v>0</v>
      </c>
      <c r="S58" s="9">
        <v>0</v>
      </c>
      <c r="T58" s="9">
        <v>0</v>
      </c>
      <c r="U58" s="9">
        <v>0</v>
      </c>
      <c r="V58" s="9">
        <v>0</v>
      </c>
      <c r="W58" s="9">
        <v>0</v>
      </c>
      <c r="X58" s="9">
        <v>0</v>
      </c>
      <c r="Y58" s="9">
        <v>0</v>
      </c>
      <c r="Z58" s="9">
        <v>0</v>
      </c>
      <c r="AA58" s="9">
        <v>0</v>
      </c>
      <c r="AB58" s="9">
        <v>0</v>
      </c>
      <c r="AC58" s="9">
        <v>0</v>
      </c>
      <c r="AD58" s="9">
        <v>0</v>
      </c>
    </row>
    <row r="59" spans="1:30" ht="51" hidden="1" x14ac:dyDescent="0.2">
      <c r="A59" s="7">
        <v>1057</v>
      </c>
      <c r="B59" s="8" t="s">
        <v>286</v>
      </c>
      <c r="C59" s="8" t="s">
        <v>211</v>
      </c>
      <c r="D59" s="9">
        <v>0.1128139534883721</v>
      </c>
      <c r="E59" s="8" t="s">
        <v>214</v>
      </c>
      <c r="F59" s="8" t="str">
        <f t="shared" si="0"/>
        <v>WK1</v>
      </c>
      <c r="G59" s="9">
        <v>0</v>
      </c>
      <c r="H59" s="9">
        <v>0</v>
      </c>
      <c r="I59" s="9">
        <v>0</v>
      </c>
      <c r="J59" s="9">
        <v>0</v>
      </c>
      <c r="K59" s="9">
        <v>0</v>
      </c>
      <c r="L59" s="9">
        <v>0</v>
      </c>
      <c r="M59" s="9">
        <v>0</v>
      </c>
      <c r="N59" s="9">
        <v>0</v>
      </c>
      <c r="O59" s="9">
        <v>0</v>
      </c>
      <c r="P59" s="9">
        <v>1</v>
      </c>
      <c r="Q59" s="9">
        <v>1</v>
      </c>
      <c r="R59" s="9">
        <v>1</v>
      </c>
      <c r="S59" s="9">
        <v>1</v>
      </c>
      <c r="T59" s="9">
        <v>1</v>
      </c>
      <c r="U59" s="9">
        <v>1</v>
      </c>
      <c r="V59" s="9">
        <v>1</v>
      </c>
      <c r="W59" s="9">
        <v>1</v>
      </c>
      <c r="X59" s="9">
        <v>0</v>
      </c>
      <c r="Y59" s="9">
        <v>0</v>
      </c>
      <c r="Z59" s="9">
        <v>0</v>
      </c>
      <c r="AA59" s="9">
        <v>0</v>
      </c>
      <c r="AB59" s="9">
        <v>0</v>
      </c>
      <c r="AC59" s="9">
        <v>0</v>
      </c>
      <c r="AD59" s="9">
        <v>0</v>
      </c>
    </row>
    <row r="60" spans="1:30" ht="38.25" hidden="1" x14ac:dyDescent="0.2">
      <c r="A60" s="7">
        <v>1059</v>
      </c>
      <c r="B60" s="8" t="s">
        <v>418</v>
      </c>
      <c r="C60" s="8" t="s">
        <v>211</v>
      </c>
      <c r="D60" s="9">
        <v>0.10371428571428574</v>
      </c>
      <c r="E60" s="8" t="s">
        <v>441</v>
      </c>
      <c r="F60" s="8" t="str">
        <f t="shared" si="0"/>
        <v>Wk1</v>
      </c>
      <c r="G60" s="9">
        <v>0</v>
      </c>
      <c r="H60" s="9">
        <v>0</v>
      </c>
      <c r="I60" s="9">
        <v>0</v>
      </c>
      <c r="J60" s="9">
        <v>0</v>
      </c>
      <c r="K60" s="9">
        <v>0</v>
      </c>
      <c r="L60" s="9">
        <v>0</v>
      </c>
      <c r="M60" s="9">
        <v>0</v>
      </c>
      <c r="N60" s="9">
        <v>0</v>
      </c>
      <c r="O60" s="9">
        <v>1</v>
      </c>
      <c r="P60" s="9">
        <v>1</v>
      </c>
      <c r="Q60" s="9">
        <v>1</v>
      </c>
      <c r="R60" s="9">
        <v>1</v>
      </c>
      <c r="S60" s="9">
        <v>1</v>
      </c>
      <c r="T60" s="9">
        <v>1</v>
      </c>
      <c r="U60" s="9">
        <v>1</v>
      </c>
      <c r="V60" s="9">
        <v>1</v>
      </c>
      <c r="W60" s="9">
        <v>1</v>
      </c>
      <c r="X60" s="9">
        <v>1</v>
      </c>
      <c r="Y60" s="9">
        <v>0</v>
      </c>
      <c r="Z60" s="9">
        <v>0</v>
      </c>
      <c r="AA60" s="9">
        <v>0</v>
      </c>
      <c r="AB60" s="9">
        <v>0</v>
      </c>
      <c r="AC60" s="9">
        <v>0</v>
      </c>
      <c r="AD60" s="9">
        <v>0</v>
      </c>
    </row>
    <row r="61" spans="1:30" ht="38.25" hidden="1" x14ac:dyDescent="0.2">
      <c r="A61" s="7">
        <v>1060</v>
      </c>
      <c r="B61" s="8" t="s">
        <v>370</v>
      </c>
      <c r="C61" s="8" t="s">
        <v>211</v>
      </c>
      <c r="D61" s="9">
        <v>0.10371428571428574</v>
      </c>
      <c r="E61" s="8" t="s">
        <v>442</v>
      </c>
      <c r="F61" s="8" t="str">
        <f t="shared" si="0"/>
        <v>Wk1</v>
      </c>
      <c r="G61" s="9">
        <v>0</v>
      </c>
      <c r="H61" s="9">
        <v>0</v>
      </c>
      <c r="I61" s="9">
        <v>0</v>
      </c>
      <c r="J61" s="9">
        <v>0</v>
      </c>
      <c r="K61" s="9">
        <v>0</v>
      </c>
      <c r="L61" s="9">
        <v>0</v>
      </c>
      <c r="M61" s="9">
        <v>0</v>
      </c>
      <c r="N61" s="9">
        <v>0</v>
      </c>
      <c r="O61" s="9">
        <v>1</v>
      </c>
      <c r="P61" s="9">
        <v>1</v>
      </c>
      <c r="Q61" s="9">
        <v>1</v>
      </c>
      <c r="R61" s="9">
        <v>1</v>
      </c>
      <c r="S61" s="9">
        <v>1</v>
      </c>
      <c r="T61" s="9">
        <v>1</v>
      </c>
      <c r="U61" s="9">
        <v>1</v>
      </c>
      <c r="V61" s="9">
        <v>1</v>
      </c>
      <c r="W61" s="9">
        <v>1</v>
      </c>
      <c r="X61" s="9">
        <v>1</v>
      </c>
      <c r="Y61" s="9">
        <v>0</v>
      </c>
      <c r="Z61" s="9">
        <v>0</v>
      </c>
      <c r="AA61" s="9">
        <v>0</v>
      </c>
      <c r="AB61" s="9">
        <v>0</v>
      </c>
      <c r="AC61" s="9">
        <v>0</v>
      </c>
      <c r="AD61" s="9">
        <v>0</v>
      </c>
    </row>
    <row r="62" spans="1:30" ht="51" hidden="1" x14ac:dyDescent="0.2">
      <c r="A62" s="7">
        <v>1063</v>
      </c>
      <c r="B62" s="8" t="s">
        <v>276</v>
      </c>
      <c r="C62" s="8" t="s">
        <v>211</v>
      </c>
      <c r="D62" s="9">
        <v>1.0857142857714287E-2</v>
      </c>
      <c r="E62" s="8" t="s">
        <v>215</v>
      </c>
      <c r="F62" s="8" t="str">
        <f t="shared" si="0"/>
        <v>Wk1</v>
      </c>
      <c r="G62" s="9">
        <v>0</v>
      </c>
      <c r="H62" s="9">
        <v>0</v>
      </c>
      <c r="I62" s="9">
        <v>0</v>
      </c>
      <c r="J62" s="9">
        <v>0</v>
      </c>
      <c r="K62" s="9">
        <v>0</v>
      </c>
      <c r="L62" s="9">
        <v>0</v>
      </c>
      <c r="M62" s="9">
        <v>0</v>
      </c>
      <c r="N62" s="9">
        <v>0</v>
      </c>
      <c r="O62" s="9">
        <v>1</v>
      </c>
      <c r="P62" s="9">
        <v>1</v>
      </c>
      <c r="Q62" s="9">
        <v>1</v>
      </c>
      <c r="R62" s="9">
        <v>1</v>
      </c>
      <c r="S62" s="9">
        <v>1</v>
      </c>
      <c r="T62" s="9">
        <v>1</v>
      </c>
      <c r="U62" s="9">
        <v>1</v>
      </c>
      <c r="V62" s="9">
        <v>1</v>
      </c>
      <c r="W62" s="9">
        <v>1</v>
      </c>
      <c r="X62" s="9">
        <v>1</v>
      </c>
      <c r="Y62" s="9">
        <v>0</v>
      </c>
      <c r="Z62" s="9">
        <v>0</v>
      </c>
      <c r="AA62" s="9">
        <v>0</v>
      </c>
      <c r="AB62" s="9">
        <v>0</v>
      </c>
      <c r="AC62" s="9">
        <v>0</v>
      </c>
      <c r="AD62" s="9">
        <v>0</v>
      </c>
    </row>
    <row r="63" spans="1:30" ht="38.25" hidden="1" x14ac:dyDescent="0.2">
      <c r="A63" s="7">
        <v>1064</v>
      </c>
      <c r="B63" s="8" t="s">
        <v>127</v>
      </c>
      <c r="C63" s="8" t="s">
        <v>211</v>
      </c>
      <c r="D63" s="9">
        <v>0.32500000000000001</v>
      </c>
      <c r="E63" s="8" t="s">
        <v>216</v>
      </c>
      <c r="F63" s="8" t="str">
        <f t="shared" si="0"/>
        <v>WK1</v>
      </c>
      <c r="G63" s="9">
        <v>0</v>
      </c>
      <c r="H63" s="9">
        <v>0</v>
      </c>
      <c r="I63" s="9">
        <v>0</v>
      </c>
      <c r="J63" s="9">
        <v>0</v>
      </c>
      <c r="K63" s="9">
        <v>0</v>
      </c>
      <c r="L63" s="9">
        <v>0</v>
      </c>
      <c r="M63" s="9">
        <v>0</v>
      </c>
      <c r="N63" s="9">
        <v>0</v>
      </c>
      <c r="O63" s="9">
        <v>0</v>
      </c>
      <c r="P63" s="9">
        <v>0.25</v>
      </c>
      <c r="Q63" s="9">
        <v>0.25</v>
      </c>
      <c r="R63" s="9">
        <v>0.25</v>
      </c>
      <c r="S63" s="9">
        <v>0.25</v>
      </c>
      <c r="T63" s="9">
        <v>0.25</v>
      </c>
      <c r="U63" s="9">
        <v>0.25</v>
      </c>
      <c r="V63" s="9">
        <v>0.25</v>
      </c>
      <c r="W63" s="9">
        <v>0.25</v>
      </c>
      <c r="X63" s="9">
        <v>0</v>
      </c>
      <c r="Y63" s="9">
        <v>0</v>
      </c>
      <c r="Z63" s="9">
        <v>0</v>
      </c>
      <c r="AA63" s="9">
        <v>0</v>
      </c>
      <c r="AB63" s="9">
        <v>0</v>
      </c>
      <c r="AC63" s="9">
        <v>0</v>
      </c>
      <c r="AD63" s="9">
        <v>0</v>
      </c>
    </row>
    <row r="64" spans="1:30" ht="38.25" hidden="1" x14ac:dyDescent="0.2">
      <c r="A64" s="7">
        <v>1066</v>
      </c>
      <c r="B64" s="8" t="s">
        <v>425</v>
      </c>
      <c r="C64" s="8" t="s">
        <v>211</v>
      </c>
      <c r="D64" s="9">
        <v>9.5142857142857168E-2</v>
      </c>
      <c r="E64" s="8" t="s">
        <v>217</v>
      </c>
      <c r="F64" s="8" t="str">
        <f t="shared" si="0"/>
        <v>Wk1</v>
      </c>
      <c r="G64" s="9">
        <v>0</v>
      </c>
      <c r="H64" s="9">
        <v>0</v>
      </c>
      <c r="I64" s="9">
        <v>0</v>
      </c>
      <c r="J64" s="9">
        <v>0</v>
      </c>
      <c r="K64" s="9">
        <v>0</v>
      </c>
      <c r="L64" s="9">
        <v>0</v>
      </c>
      <c r="M64" s="9">
        <v>0</v>
      </c>
      <c r="N64" s="9">
        <v>0</v>
      </c>
      <c r="O64" s="9">
        <v>1</v>
      </c>
      <c r="P64" s="9">
        <v>1</v>
      </c>
      <c r="Q64" s="9">
        <v>1</v>
      </c>
      <c r="R64" s="9">
        <v>1</v>
      </c>
      <c r="S64" s="9">
        <v>1</v>
      </c>
      <c r="T64" s="9">
        <v>1</v>
      </c>
      <c r="U64" s="9">
        <v>1</v>
      </c>
      <c r="V64" s="9">
        <v>1</v>
      </c>
      <c r="W64" s="9">
        <v>1</v>
      </c>
      <c r="X64" s="9">
        <v>1</v>
      </c>
      <c r="Y64" s="9">
        <v>0</v>
      </c>
      <c r="Z64" s="9">
        <v>0</v>
      </c>
      <c r="AA64" s="9">
        <v>0</v>
      </c>
      <c r="AB64" s="9">
        <v>0</v>
      </c>
      <c r="AC64" s="9">
        <v>0</v>
      </c>
      <c r="AD64" s="9">
        <v>0</v>
      </c>
    </row>
    <row r="65" spans="1:30" ht="38.25" hidden="1" x14ac:dyDescent="0.2">
      <c r="A65" s="7">
        <v>1067</v>
      </c>
      <c r="B65" s="8" t="s">
        <v>369</v>
      </c>
      <c r="C65" s="8" t="s">
        <v>132</v>
      </c>
      <c r="D65" s="9">
        <v>0.10371428571428574</v>
      </c>
      <c r="E65" s="8" t="s">
        <v>443</v>
      </c>
      <c r="F65" s="8" t="str">
        <f t="shared" si="0"/>
        <v>Wk1</v>
      </c>
      <c r="G65" s="9">
        <v>0</v>
      </c>
      <c r="H65" s="9">
        <v>0</v>
      </c>
      <c r="I65" s="9">
        <v>0</v>
      </c>
      <c r="J65" s="9">
        <v>0</v>
      </c>
      <c r="K65" s="9">
        <v>0</v>
      </c>
      <c r="L65" s="9">
        <v>0</v>
      </c>
      <c r="M65" s="9">
        <v>0</v>
      </c>
      <c r="N65" s="9">
        <v>0</v>
      </c>
      <c r="O65" s="9">
        <v>1</v>
      </c>
      <c r="P65" s="9">
        <v>1</v>
      </c>
      <c r="Q65" s="9">
        <v>1</v>
      </c>
      <c r="R65" s="9">
        <v>1</v>
      </c>
      <c r="S65" s="9">
        <v>1</v>
      </c>
      <c r="T65" s="9">
        <v>1</v>
      </c>
      <c r="U65" s="9">
        <v>1</v>
      </c>
      <c r="V65" s="9">
        <v>1</v>
      </c>
      <c r="W65" s="9">
        <v>1</v>
      </c>
      <c r="X65" s="9">
        <v>1</v>
      </c>
      <c r="Y65" s="9">
        <v>0</v>
      </c>
      <c r="Z65" s="9">
        <v>0</v>
      </c>
      <c r="AA65" s="9">
        <v>0</v>
      </c>
      <c r="AB65" s="9">
        <v>0</v>
      </c>
      <c r="AC65" s="9">
        <v>0</v>
      </c>
      <c r="AD65" s="9">
        <v>0</v>
      </c>
    </row>
    <row r="66" spans="1:30" ht="38.25" hidden="1" x14ac:dyDescent="0.2">
      <c r="A66" s="7">
        <v>1068</v>
      </c>
      <c r="B66" s="8" t="s">
        <v>273</v>
      </c>
      <c r="C66" s="8" t="s">
        <v>132</v>
      </c>
      <c r="D66" s="9">
        <v>0.108</v>
      </c>
      <c r="E66" s="8" t="s">
        <v>218</v>
      </c>
      <c r="F66" s="8" t="str">
        <f t="shared" si="0"/>
        <v>Wk1</v>
      </c>
      <c r="G66" s="9">
        <v>0</v>
      </c>
      <c r="H66" s="9">
        <v>0</v>
      </c>
      <c r="I66" s="9">
        <v>0</v>
      </c>
      <c r="J66" s="9">
        <v>0</v>
      </c>
      <c r="K66" s="9">
        <v>0</v>
      </c>
      <c r="L66" s="9">
        <v>0</v>
      </c>
      <c r="M66" s="9">
        <v>0</v>
      </c>
      <c r="N66" s="9">
        <v>0</v>
      </c>
      <c r="O66" s="9">
        <v>0</v>
      </c>
      <c r="P66" s="9">
        <v>0.5</v>
      </c>
      <c r="Q66" s="9">
        <v>1</v>
      </c>
      <c r="R66" s="9">
        <v>1</v>
      </c>
      <c r="S66" s="9">
        <v>1</v>
      </c>
      <c r="T66" s="9">
        <v>0.75</v>
      </c>
      <c r="U66" s="9">
        <v>1</v>
      </c>
      <c r="V66" s="9">
        <v>0.75</v>
      </c>
      <c r="W66" s="9">
        <v>0</v>
      </c>
      <c r="X66" s="9">
        <v>0</v>
      </c>
      <c r="Y66" s="9">
        <v>0</v>
      </c>
      <c r="Z66" s="9">
        <v>0</v>
      </c>
      <c r="AA66" s="9">
        <v>0</v>
      </c>
      <c r="AB66" s="9">
        <v>0</v>
      </c>
      <c r="AC66" s="9">
        <v>0</v>
      </c>
      <c r="AD66" s="9">
        <v>0</v>
      </c>
    </row>
    <row r="67" spans="1:30" ht="63.75" x14ac:dyDescent="0.2">
      <c r="A67" s="7">
        <v>1069</v>
      </c>
      <c r="B67" s="8" t="s">
        <v>104</v>
      </c>
      <c r="C67" s="8" t="s">
        <v>132</v>
      </c>
      <c r="D67" s="9">
        <v>0.33050847457627125</v>
      </c>
      <c r="E67" s="8" t="s">
        <v>219</v>
      </c>
      <c r="F67" s="8" t="str">
        <f t="shared" si="0"/>
        <v>Wk1</v>
      </c>
      <c r="G67" s="9">
        <v>0</v>
      </c>
      <c r="H67" s="9">
        <v>0</v>
      </c>
      <c r="I67" s="9">
        <v>0</v>
      </c>
      <c r="J67" s="9">
        <v>0</v>
      </c>
      <c r="K67" s="9">
        <v>0</v>
      </c>
      <c r="L67" s="9">
        <v>0</v>
      </c>
      <c r="M67" s="9">
        <v>0</v>
      </c>
      <c r="N67" s="9">
        <v>0</v>
      </c>
      <c r="O67" s="9">
        <v>0</v>
      </c>
      <c r="P67" s="9">
        <v>0</v>
      </c>
      <c r="Q67" s="9">
        <v>0</v>
      </c>
      <c r="R67" s="9">
        <v>0.25</v>
      </c>
      <c r="S67" s="9">
        <v>1</v>
      </c>
      <c r="T67" s="9">
        <v>1</v>
      </c>
      <c r="U67" s="9">
        <v>0.75</v>
      </c>
      <c r="V67" s="9">
        <v>0</v>
      </c>
      <c r="W67" s="9">
        <v>0</v>
      </c>
      <c r="X67" s="9">
        <v>0</v>
      </c>
      <c r="Y67" s="9">
        <v>0</v>
      </c>
      <c r="Z67" s="9">
        <v>0</v>
      </c>
      <c r="AA67" s="9">
        <v>0</v>
      </c>
      <c r="AB67" s="9">
        <v>0</v>
      </c>
      <c r="AC67" s="9">
        <v>0</v>
      </c>
      <c r="AD67" s="9">
        <v>0</v>
      </c>
    </row>
    <row r="68" spans="1:30" ht="38.25" hidden="1" x14ac:dyDescent="0.2">
      <c r="A68" s="7">
        <v>1070</v>
      </c>
      <c r="B68" s="8" t="s">
        <v>423</v>
      </c>
      <c r="C68" s="8" t="s">
        <v>132</v>
      </c>
      <c r="D68" s="9">
        <v>0.10607142857142859</v>
      </c>
      <c r="E68" s="8" t="s">
        <v>444</v>
      </c>
      <c r="F68" s="8" t="str">
        <f t="shared" si="0"/>
        <v>Wk1</v>
      </c>
      <c r="G68" s="9">
        <v>0</v>
      </c>
      <c r="H68" s="9">
        <v>0</v>
      </c>
      <c r="I68" s="9">
        <v>0</v>
      </c>
      <c r="J68" s="9">
        <v>0</v>
      </c>
      <c r="K68" s="9">
        <v>0</v>
      </c>
      <c r="L68" s="9">
        <v>0</v>
      </c>
      <c r="M68" s="9">
        <v>0</v>
      </c>
      <c r="N68" s="9">
        <v>0</v>
      </c>
      <c r="O68" s="9">
        <v>0</v>
      </c>
      <c r="P68" s="9">
        <v>0</v>
      </c>
      <c r="Q68" s="9">
        <v>0</v>
      </c>
      <c r="R68" s="9">
        <v>0</v>
      </c>
      <c r="S68" s="9">
        <v>0</v>
      </c>
      <c r="T68" s="9">
        <v>0</v>
      </c>
      <c r="U68" s="9">
        <v>0</v>
      </c>
      <c r="V68" s="9">
        <v>0</v>
      </c>
      <c r="W68" s="9">
        <v>0</v>
      </c>
      <c r="X68" s="9">
        <v>0</v>
      </c>
      <c r="Y68" s="9">
        <v>0</v>
      </c>
      <c r="Z68" s="9">
        <v>0</v>
      </c>
      <c r="AA68" s="9">
        <v>0</v>
      </c>
      <c r="AB68" s="9">
        <v>0</v>
      </c>
      <c r="AC68" s="9">
        <v>0</v>
      </c>
      <c r="AD68" s="9">
        <v>0</v>
      </c>
    </row>
    <row r="69" spans="1:30" ht="38.25" hidden="1" x14ac:dyDescent="0.2">
      <c r="A69" s="7">
        <v>1071</v>
      </c>
      <c r="B69" s="8" t="s">
        <v>806</v>
      </c>
      <c r="C69" s="8" t="s">
        <v>132</v>
      </c>
      <c r="D69" s="9">
        <v>0.11687500000000001</v>
      </c>
      <c r="E69" s="8" t="s">
        <v>220</v>
      </c>
      <c r="F69" s="8" t="str">
        <f t="shared" si="0"/>
        <v>Wk1</v>
      </c>
      <c r="G69" s="9">
        <v>0</v>
      </c>
      <c r="H69" s="9">
        <v>0</v>
      </c>
      <c r="I69" s="9">
        <v>0</v>
      </c>
      <c r="J69" s="9">
        <v>0</v>
      </c>
      <c r="K69" s="9">
        <v>0</v>
      </c>
      <c r="L69" s="9">
        <v>0</v>
      </c>
      <c r="M69" s="9">
        <v>0</v>
      </c>
      <c r="N69" s="9">
        <v>0</v>
      </c>
      <c r="O69" s="9">
        <v>0</v>
      </c>
      <c r="P69" s="9">
        <v>0.75</v>
      </c>
      <c r="Q69" s="9">
        <v>1</v>
      </c>
      <c r="R69" s="9">
        <v>1</v>
      </c>
      <c r="S69" s="9">
        <v>0.75</v>
      </c>
      <c r="T69" s="9">
        <v>0.75</v>
      </c>
      <c r="U69" s="9">
        <v>1</v>
      </c>
      <c r="V69" s="9">
        <v>1</v>
      </c>
      <c r="W69" s="9">
        <v>1</v>
      </c>
      <c r="X69" s="9">
        <v>0.75</v>
      </c>
      <c r="Y69" s="9">
        <v>0</v>
      </c>
      <c r="Z69" s="9">
        <v>0</v>
      </c>
      <c r="AA69" s="9">
        <v>0</v>
      </c>
      <c r="AB69" s="9">
        <v>0</v>
      </c>
      <c r="AC69" s="9">
        <v>0</v>
      </c>
      <c r="AD69" s="9">
        <v>0</v>
      </c>
    </row>
    <row r="70" spans="1:30" ht="38.25" hidden="1" x14ac:dyDescent="0.2">
      <c r="A70" s="7">
        <v>1072</v>
      </c>
      <c r="B70" s="8" t="s">
        <v>807</v>
      </c>
      <c r="C70" s="8" t="s">
        <v>132</v>
      </c>
      <c r="D70" s="9">
        <v>0.11687500000000001</v>
      </c>
      <c r="E70" s="8" t="s">
        <v>445</v>
      </c>
      <c r="F70" s="8" t="str">
        <f t="shared" si="0"/>
        <v>Wk1</v>
      </c>
      <c r="G70" s="9">
        <v>0</v>
      </c>
      <c r="H70" s="9">
        <v>0</v>
      </c>
      <c r="I70" s="9">
        <v>0</v>
      </c>
      <c r="J70" s="9">
        <v>0</v>
      </c>
      <c r="K70" s="9">
        <v>0</v>
      </c>
      <c r="L70" s="9">
        <v>0</v>
      </c>
      <c r="M70" s="9">
        <v>0</v>
      </c>
      <c r="N70" s="9">
        <v>0</v>
      </c>
      <c r="O70" s="9">
        <v>0</v>
      </c>
      <c r="P70" s="9">
        <v>0.75</v>
      </c>
      <c r="Q70" s="9">
        <v>1</v>
      </c>
      <c r="R70" s="9">
        <v>1</v>
      </c>
      <c r="S70" s="9">
        <v>0.75</v>
      </c>
      <c r="T70" s="9">
        <v>0.75</v>
      </c>
      <c r="U70" s="9">
        <v>1</v>
      </c>
      <c r="V70" s="9">
        <v>1</v>
      </c>
      <c r="W70" s="9">
        <v>1</v>
      </c>
      <c r="X70" s="9">
        <v>0.75</v>
      </c>
      <c r="Y70" s="9">
        <v>0</v>
      </c>
      <c r="Z70" s="9">
        <v>0</v>
      </c>
      <c r="AA70" s="9">
        <v>0</v>
      </c>
      <c r="AB70" s="9">
        <v>0</v>
      </c>
      <c r="AC70" s="9">
        <v>0</v>
      </c>
      <c r="AD70" s="9">
        <v>0</v>
      </c>
    </row>
    <row r="71" spans="1:30" ht="51" hidden="1" x14ac:dyDescent="0.2">
      <c r="A71" s="7">
        <v>1073</v>
      </c>
      <c r="B71" s="8" t="s">
        <v>808</v>
      </c>
      <c r="C71" s="8" t="s">
        <v>132</v>
      </c>
      <c r="D71" s="9">
        <v>0.11687500000000001</v>
      </c>
      <c r="E71" s="8" t="s">
        <v>446</v>
      </c>
      <c r="F71" s="8" t="str">
        <f t="shared" si="0"/>
        <v>Wk1</v>
      </c>
      <c r="G71" s="9">
        <v>0</v>
      </c>
      <c r="H71" s="9">
        <v>0</v>
      </c>
      <c r="I71" s="9">
        <v>0</v>
      </c>
      <c r="J71" s="9">
        <v>0</v>
      </c>
      <c r="K71" s="9">
        <v>0</v>
      </c>
      <c r="L71" s="9">
        <v>0</v>
      </c>
      <c r="M71" s="9">
        <v>0</v>
      </c>
      <c r="N71" s="9">
        <v>0</v>
      </c>
      <c r="O71" s="9">
        <v>0</v>
      </c>
      <c r="P71" s="9">
        <v>0.75</v>
      </c>
      <c r="Q71" s="9">
        <v>1</v>
      </c>
      <c r="R71" s="9">
        <v>1</v>
      </c>
      <c r="S71" s="9">
        <v>0.75</v>
      </c>
      <c r="T71" s="9">
        <v>0.75</v>
      </c>
      <c r="U71" s="9">
        <v>1</v>
      </c>
      <c r="V71" s="9">
        <v>1</v>
      </c>
      <c r="W71" s="9">
        <v>1</v>
      </c>
      <c r="X71" s="9">
        <v>0.75</v>
      </c>
      <c r="Y71" s="9">
        <v>0</v>
      </c>
      <c r="Z71" s="9">
        <v>0</v>
      </c>
      <c r="AA71" s="9">
        <v>0</v>
      </c>
      <c r="AB71" s="9">
        <v>0</v>
      </c>
      <c r="AC71" s="9">
        <v>0</v>
      </c>
      <c r="AD71" s="9">
        <v>0</v>
      </c>
    </row>
    <row r="72" spans="1:30" ht="38.25" hidden="1" x14ac:dyDescent="0.2">
      <c r="A72" s="7">
        <v>1074</v>
      </c>
      <c r="B72" s="8" t="s">
        <v>418</v>
      </c>
      <c r="C72" s="8" t="s">
        <v>132</v>
      </c>
      <c r="D72" s="9">
        <v>0.10371428571428574</v>
      </c>
      <c r="E72" s="8" t="s">
        <v>447</v>
      </c>
      <c r="F72" s="8" t="str">
        <f t="shared" si="0"/>
        <v>Wk1</v>
      </c>
      <c r="G72" s="9">
        <v>0</v>
      </c>
      <c r="H72" s="9">
        <v>0</v>
      </c>
      <c r="I72" s="9">
        <v>0</v>
      </c>
      <c r="J72" s="9">
        <v>0</v>
      </c>
      <c r="K72" s="9">
        <v>0</v>
      </c>
      <c r="L72" s="9">
        <v>0</v>
      </c>
      <c r="M72" s="9">
        <v>0</v>
      </c>
      <c r="N72" s="9">
        <v>0</v>
      </c>
      <c r="O72" s="9">
        <v>1</v>
      </c>
      <c r="P72" s="9">
        <v>1</v>
      </c>
      <c r="Q72" s="9">
        <v>1</v>
      </c>
      <c r="R72" s="9">
        <v>1</v>
      </c>
      <c r="S72" s="9">
        <v>1</v>
      </c>
      <c r="T72" s="9">
        <v>1</v>
      </c>
      <c r="U72" s="9">
        <v>1</v>
      </c>
      <c r="V72" s="9">
        <v>1</v>
      </c>
      <c r="W72" s="9">
        <v>1</v>
      </c>
      <c r="X72" s="9">
        <v>1</v>
      </c>
      <c r="Y72" s="9">
        <v>0</v>
      </c>
      <c r="Z72" s="9">
        <v>0</v>
      </c>
      <c r="AA72" s="9">
        <v>0</v>
      </c>
      <c r="AB72" s="9">
        <v>0</v>
      </c>
      <c r="AC72" s="9">
        <v>0</v>
      </c>
      <c r="AD72" s="9">
        <v>0</v>
      </c>
    </row>
    <row r="73" spans="1:30" ht="38.25" hidden="1" x14ac:dyDescent="0.2">
      <c r="A73" s="7">
        <v>1077</v>
      </c>
      <c r="B73" s="8" t="s">
        <v>370</v>
      </c>
      <c r="C73" s="8" t="s">
        <v>132</v>
      </c>
      <c r="D73" s="9">
        <v>0.10371428571428574</v>
      </c>
      <c r="E73" s="8" t="s">
        <v>448</v>
      </c>
      <c r="F73" s="8" t="str">
        <f t="shared" si="0"/>
        <v>Wk1</v>
      </c>
      <c r="G73" s="9">
        <v>0</v>
      </c>
      <c r="H73" s="9">
        <v>0</v>
      </c>
      <c r="I73" s="9">
        <v>0</v>
      </c>
      <c r="J73" s="9">
        <v>0</v>
      </c>
      <c r="K73" s="9">
        <v>0</v>
      </c>
      <c r="L73" s="9">
        <v>0</v>
      </c>
      <c r="M73" s="9">
        <v>0</v>
      </c>
      <c r="N73" s="9">
        <v>0</v>
      </c>
      <c r="O73" s="9">
        <v>1</v>
      </c>
      <c r="P73" s="9">
        <v>1</v>
      </c>
      <c r="Q73" s="9">
        <v>1</v>
      </c>
      <c r="R73" s="9">
        <v>1</v>
      </c>
      <c r="S73" s="9">
        <v>1</v>
      </c>
      <c r="T73" s="9">
        <v>1</v>
      </c>
      <c r="U73" s="9">
        <v>1</v>
      </c>
      <c r="V73" s="9">
        <v>1</v>
      </c>
      <c r="W73" s="9">
        <v>1</v>
      </c>
      <c r="X73" s="9">
        <v>1</v>
      </c>
      <c r="Y73" s="9">
        <v>0</v>
      </c>
      <c r="Z73" s="9">
        <v>0</v>
      </c>
      <c r="AA73" s="9">
        <v>0</v>
      </c>
      <c r="AB73" s="9">
        <v>0</v>
      </c>
      <c r="AC73" s="9">
        <v>0</v>
      </c>
      <c r="AD73" s="9">
        <v>0</v>
      </c>
    </row>
    <row r="74" spans="1:30" ht="38.25" hidden="1" x14ac:dyDescent="0.2">
      <c r="A74" s="7">
        <v>1078</v>
      </c>
      <c r="B74" s="8" t="s">
        <v>425</v>
      </c>
      <c r="C74" s="8" t="s">
        <v>132</v>
      </c>
      <c r="D74" s="9">
        <v>9.5142857142857168E-2</v>
      </c>
      <c r="E74" s="8" t="s">
        <v>221</v>
      </c>
      <c r="F74" s="8" t="str">
        <f t="shared" ref="F74:F137" si="1">RIGHT(E74,3)</f>
        <v>Wk1</v>
      </c>
      <c r="G74" s="9">
        <v>0</v>
      </c>
      <c r="H74" s="9">
        <v>0</v>
      </c>
      <c r="I74" s="9">
        <v>0</v>
      </c>
      <c r="J74" s="9">
        <v>0</v>
      </c>
      <c r="K74" s="9">
        <v>0</v>
      </c>
      <c r="L74" s="9">
        <v>0</v>
      </c>
      <c r="M74" s="9">
        <v>0</v>
      </c>
      <c r="N74" s="9">
        <v>0</v>
      </c>
      <c r="O74" s="9">
        <v>1</v>
      </c>
      <c r="P74" s="9">
        <v>1</v>
      </c>
      <c r="Q74" s="9">
        <v>1</v>
      </c>
      <c r="R74" s="9">
        <v>1</v>
      </c>
      <c r="S74" s="9">
        <v>1</v>
      </c>
      <c r="T74" s="9">
        <v>1</v>
      </c>
      <c r="U74" s="9">
        <v>1</v>
      </c>
      <c r="V74" s="9">
        <v>1</v>
      </c>
      <c r="W74" s="9">
        <v>1</v>
      </c>
      <c r="X74" s="9">
        <v>1</v>
      </c>
      <c r="Y74" s="9">
        <v>0</v>
      </c>
      <c r="Z74" s="9">
        <v>0</v>
      </c>
      <c r="AA74" s="9">
        <v>0</v>
      </c>
      <c r="AB74" s="9">
        <v>0</v>
      </c>
      <c r="AC74" s="9">
        <v>0</v>
      </c>
      <c r="AD74" s="9">
        <v>0</v>
      </c>
    </row>
    <row r="75" spans="1:30" ht="51" hidden="1" x14ac:dyDescent="0.2">
      <c r="A75" s="7">
        <v>1079</v>
      </c>
      <c r="B75" s="8" t="s">
        <v>117</v>
      </c>
      <c r="C75" s="8" t="s">
        <v>222</v>
      </c>
      <c r="D75" s="9">
        <v>1.87563025194958E-2</v>
      </c>
      <c r="E75" s="8" t="s">
        <v>223</v>
      </c>
      <c r="F75" s="8" t="str">
        <f t="shared" si="1"/>
        <v>Wk1</v>
      </c>
      <c r="G75" s="9">
        <v>0</v>
      </c>
      <c r="H75" s="9">
        <v>0</v>
      </c>
      <c r="I75" s="9">
        <v>0</v>
      </c>
      <c r="J75" s="9">
        <v>0</v>
      </c>
      <c r="K75" s="9">
        <v>0</v>
      </c>
      <c r="L75" s="9">
        <v>0</v>
      </c>
      <c r="M75" s="9">
        <v>0</v>
      </c>
      <c r="N75" s="9">
        <v>0</v>
      </c>
      <c r="O75" s="9">
        <v>0</v>
      </c>
      <c r="P75" s="9">
        <v>0</v>
      </c>
      <c r="Q75" s="9">
        <v>0</v>
      </c>
      <c r="R75" s="9">
        <v>0</v>
      </c>
      <c r="S75" s="9">
        <v>0</v>
      </c>
      <c r="T75" s="9">
        <v>0</v>
      </c>
      <c r="U75" s="9">
        <v>0</v>
      </c>
      <c r="V75" s="9">
        <v>0</v>
      </c>
      <c r="W75" s="9">
        <v>0.5</v>
      </c>
      <c r="X75" s="9">
        <v>0.5</v>
      </c>
      <c r="Y75" s="9">
        <v>1</v>
      </c>
      <c r="Z75" s="9">
        <v>1</v>
      </c>
      <c r="AA75" s="9">
        <v>1</v>
      </c>
      <c r="AB75" s="9">
        <v>1</v>
      </c>
      <c r="AC75" s="9">
        <v>0.66666666699999999</v>
      </c>
      <c r="AD75" s="9">
        <v>0</v>
      </c>
    </row>
    <row r="76" spans="1:30" ht="38.25" hidden="1" x14ac:dyDescent="0.2">
      <c r="A76" s="7">
        <v>1080</v>
      </c>
      <c r="B76" s="8" t="s">
        <v>372</v>
      </c>
      <c r="C76" s="8" t="s">
        <v>222</v>
      </c>
      <c r="D76" s="9">
        <v>2.2938775510204085E-2</v>
      </c>
      <c r="E76" s="8" t="s">
        <v>224</v>
      </c>
      <c r="F76" s="8" t="str">
        <f t="shared" si="1"/>
        <v>Wk1</v>
      </c>
      <c r="G76" s="9">
        <v>1</v>
      </c>
      <c r="H76" s="9">
        <v>1</v>
      </c>
      <c r="I76" s="9">
        <v>1</v>
      </c>
      <c r="J76" s="9">
        <v>1</v>
      </c>
      <c r="K76" s="9">
        <v>1</v>
      </c>
      <c r="L76" s="9">
        <v>1</v>
      </c>
      <c r="M76" s="9">
        <v>1</v>
      </c>
      <c r="N76" s="9">
        <v>0.5</v>
      </c>
      <c r="O76" s="9">
        <v>0.25</v>
      </c>
      <c r="P76" s="9">
        <v>0</v>
      </c>
      <c r="Q76" s="9">
        <v>0</v>
      </c>
      <c r="R76" s="9">
        <v>0</v>
      </c>
      <c r="S76" s="9">
        <v>0</v>
      </c>
      <c r="T76" s="9">
        <v>0</v>
      </c>
      <c r="U76" s="9">
        <v>0</v>
      </c>
      <c r="V76" s="9">
        <v>0</v>
      </c>
      <c r="W76" s="9">
        <v>0</v>
      </c>
      <c r="X76" s="9">
        <v>0</v>
      </c>
      <c r="Y76" s="9">
        <v>0</v>
      </c>
      <c r="Z76" s="9">
        <v>0</v>
      </c>
      <c r="AA76" s="9">
        <v>0</v>
      </c>
      <c r="AB76" s="9">
        <v>0</v>
      </c>
      <c r="AC76" s="9">
        <v>0.25</v>
      </c>
      <c r="AD76" s="9">
        <v>0.75</v>
      </c>
    </row>
    <row r="77" spans="1:30" ht="51" hidden="1" x14ac:dyDescent="0.2">
      <c r="A77" s="7">
        <v>1081</v>
      </c>
      <c r="B77" s="8" t="s">
        <v>374</v>
      </c>
      <c r="C77" s="8" t="s">
        <v>222</v>
      </c>
      <c r="D77" s="9">
        <v>1.6916299559471371E-2</v>
      </c>
      <c r="E77" s="8" t="s">
        <v>225</v>
      </c>
      <c r="F77" s="8" t="str">
        <f t="shared" si="1"/>
        <v>Wk1</v>
      </c>
      <c r="G77" s="9">
        <v>0</v>
      </c>
      <c r="H77" s="9">
        <v>0</v>
      </c>
      <c r="I77" s="9">
        <v>0</v>
      </c>
      <c r="J77" s="9">
        <v>0</v>
      </c>
      <c r="K77" s="9">
        <v>0</v>
      </c>
      <c r="L77" s="9">
        <v>0</v>
      </c>
      <c r="M77" s="9">
        <v>0.25</v>
      </c>
      <c r="N77" s="9">
        <v>1</v>
      </c>
      <c r="O77" s="9">
        <v>1</v>
      </c>
      <c r="P77" s="9">
        <v>0.25</v>
      </c>
      <c r="Q77" s="9">
        <v>0</v>
      </c>
      <c r="R77" s="9">
        <v>0</v>
      </c>
      <c r="S77" s="9">
        <v>0</v>
      </c>
      <c r="T77" s="9">
        <v>0</v>
      </c>
      <c r="U77" s="9">
        <v>0</v>
      </c>
      <c r="V77" s="9">
        <v>0</v>
      </c>
      <c r="W77" s="9">
        <v>0</v>
      </c>
      <c r="X77" s="9">
        <v>0</v>
      </c>
      <c r="Y77" s="9">
        <v>0.5</v>
      </c>
      <c r="Z77" s="9">
        <v>1</v>
      </c>
      <c r="AA77" s="9">
        <v>1</v>
      </c>
      <c r="AB77" s="9">
        <v>0.3</v>
      </c>
      <c r="AC77" s="9">
        <v>0</v>
      </c>
      <c r="AD77" s="9">
        <v>0</v>
      </c>
    </row>
    <row r="78" spans="1:30" ht="51" hidden="1" x14ac:dyDescent="0.2">
      <c r="A78" s="7">
        <v>1082</v>
      </c>
      <c r="B78" s="8" t="s">
        <v>371</v>
      </c>
      <c r="C78" s="8" t="s">
        <v>222</v>
      </c>
      <c r="D78" s="9">
        <v>2.4317180616740097E-2</v>
      </c>
      <c r="E78" s="8" t="s">
        <v>449</v>
      </c>
      <c r="F78" s="8" t="str">
        <f t="shared" si="1"/>
        <v>Wk1</v>
      </c>
      <c r="G78" s="9">
        <v>0</v>
      </c>
      <c r="H78" s="9">
        <v>0</v>
      </c>
      <c r="I78" s="9">
        <v>0</v>
      </c>
      <c r="J78" s="9">
        <v>0</v>
      </c>
      <c r="K78" s="9">
        <v>0</v>
      </c>
      <c r="L78" s="9">
        <v>0</v>
      </c>
      <c r="M78" s="9">
        <v>0.25</v>
      </c>
      <c r="N78" s="9">
        <v>1</v>
      </c>
      <c r="O78" s="9">
        <v>1</v>
      </c>
      <c r="P78" s="9">
        <v>0.25</v>
      </c>
      <c r="Q78" s="9">
        <v>0</v>
      </c>
      <c r="R78" s="9">
        <v>0</v>
      </c>
      <c r="S78" s="9">
        <v>0</v>
      </c>
      <c r="T78" s="9">
        <v>0</v>
      </c>
      <c r="U78" s="9">
        <v>0</v>
      </c>
      <c r="V78" s="9">
        <v>0</v>
      </c>
      <c r="W78" s="9">
        <v>0</v>
      </c>
      <c r="X78" s="9">
        <v>0</v>
      </c>
      <c r="Y78" s="9">
        <v>0.5</v>
      </c>
      <c r="Z78" s="9">
        <v>1</v>
      </c>
      <c r="AA78" s="9">
        <v>1</v>
      </c>
      <c r="AB78" s="9">
        <v>0.3</v>
      </c>
      <c r="AC78" s="9">
        <v>0</v>
      </c>
      <c r="AD78" s="9">
        <v>0</v>
      </c>
    </row>
    <row r="79" spans="1:30" ht="51" hidden="1" x14ac:dyDescent="0.2">
      <c r="A79" s="7">
        <v>1083</v>
      </c>
      <c r="B79" s="8" t="s">
        <v>116</v>
      </c>
      <c r="C79" s="8" t="s">
        <v>222</v>
      </c>
      <c r="D79" s="9">
        <v>2.3703703703703706E-2</v>
      </c>
      <c r="E79" s="8" t="s">
        <v>226</v>
      </c>
      <c r="F79" s="8" t="str">
        <f t="shared" si="1"/>
        <v>Wk1</v>
      </c>
      <c r="G79" s="9">
        <v>0</v>
      </c>
      <c r="H79" s="9">
        <v>0</v>
      </c>
      <c r="I79" s="9">
        <v>0</v>
      </c>
      <c r="J79" s="9">
        <v>0</v>
      </c>
      <c r="K79" s="9">
        <v>0</v>
      </c>
      <c r="L79" s="9">
        <v>0</v>
      </c>
      <c r="M79" s="9">
        <v>0</v>
      </c>
      <c r="N79" s="9">
        <v>1</v>
      </c>
      <c r="O79" s="9">
        <v>1</v>
      </c>
      <c r="P79" s="9">
        <v>1</v>
      </c>
      <c r="Q79" s="9">
        <v>0</v>
      </c>
      <c r="R79" s="9">
        <v>0</v>
      </c>
      <c r="S79" s="9">
        <v>0</v>
      </c>
      <c r="T79" s="9">
        <v>0</v>
      </c>
      <c r="U79" s="9">
        <v>0</v>
      </c>
      <c r="V79" s="9">
        <v>0</v>
      </c>
      <c r="W79" s="9">
        <v>0</v>
      </c>
      <c r="X79" s="9">
        <v>0</v>
      </c>
      <c r="Y79" s="9">
        <v>0</v>
      </c>
      <c r="Z79" s="9">
        <v>0.2</v>
      </c>
      <c r="AA79" s="9">
        <v>0.2</v>
      </c>
      <c r="AB79" s="9">
        <v>0.2</v>
      </c>
      <c r="AC79" s="9">
        <v>0.2</v>
      </c>
      <c r="AD79" s="9">
        <v>0</v>
      </c>
    </row>
    <row r="80" spans="1:30" ht="51" hidden="1" x14ac:dyDescent="0.2">
      <c r="A80" s="7">
        <v>1084</v>
      </c>
      <c r="B80" s="8" t="s">
        <v>118</v>
      </c>
      <c r="C80" s="8" t="s">
        <v>222</v>
      </c>
      <c r="D80" s="9">
        <v>1.5503875968992243E-2</v>
      </c>
      <c r="E80" s="8" t="s">
        <v>450</v>
      </c>
      <c r="F80" s="8" t="str">
        <f t="shared" si="1"/>
        <v>Wk1</v>
      </c>
      <c r="G80" s="9">
        <v>0</v>
      </c>
      <c r="H80" s="9">
        <v>0</v>
      </c>
      <c r="I80" s="9">
        <v>0</v>
      </c>
      <c r="J80" s="9">
        <v>0</v>
      </c>
      <c r="K80" s="9">
        <v>0</v>
      </c>
      <c r="L80" s="9">
        <v>0</v>
      </c>
      <c r="M80" s="9">
        <v>0</v>
      </c>
      <c r="N80" s="9">
        <v>1</v>
      </c>
      <c r="O80" s="9">
        <v>1</v>
      </c>
      <c r="P80" s="9">
        <v>1</v>
      </c>
      <c r="Q80" s="9">
        <v>0</v>
      </c>
      <c r="R80" s="9">
        <v>0</v>
      </c>
      <c r="S80" s="9">
        <v>0</v>
      </c>
      <c r="T80" s="9">
        <v>0</v>
      </c>
      <c r="U80" s="9">
        <v>0</v>
      </c>
      <c r="V80" s="9">
        <v>0</v>
      </c>
      <c r="W80" s="9">
        <v>0</v>
      </c>
      <c r="X80" s="9">
        <v>0</v>
      </c>
      <c r="Y80" s="9">
        <v>0</v>
      </c>
      <c r="Z80" s="9">
        <v>0.2</v>
      </c>
      <c r="AA80" s="9">
        <v>0.2</v>
      </c>
      <c r="AB80" s="9">
        <v>0.2</v>
      </c>
      <c r="AC80" s="9">
        <v>0.2</v>
      </c>
      <c r="AD80" s="9">
        <v>0</v>
      </c>
    </row>
    <row r="81" spans="1:30" ht="38.25" hidden="1" x14ac:dyDescent="0.2">
      <c r="A81" s="7">
        <v>1085</v>
      </c>
      <c r="B81" s="8" t="s">
        <v>373</v>
      </c>
      <c r="C81" s="8" t="s">
        <v>222</v>
      </c>
      <c r="D81" s="9">
        <v>1.8736842105263163E-2</v>
      </c>
      <c r="E81" s="8" t="s">
        <v>451</v>
      </c>
      <c r="F81" s="8" t="str">
        <f t="shared" si="1"/>
        <v>Wk1</v>
      </c>
      <c r="G81" s="9">
        <v>0</v>
      </c>
      <c r="H81" s="9">
        <v>0</v>
      </c>
      <c r="I81" s="9">
        <v>0</v>
      </c>
      <c r="J81" s="9">
        <v>0</v>
      </c>
      <c r="K81" s="9">
        <v>0</v>
      </c>
      <c r="L81" s="9">
        <v>0</v>
      </c>
      <c r="M81" s="9">
        <v>0</v>
      </c>
      <c r="N81" s="9">
        <v>1</v>
      </c>
      <c r="O81" s="9">
        <v>1</v>
      </c>
      <c r="P81" s="9">
        <v>1</v>
      </c>
      <c r="Q81" s="9">
        <v>0</v>
      </c>
      <c r="R81" s="9">
        <v>0</v>
      </c>
      <c r="S81" s="9">
        <v>0</v>
      </c>
      <c r="T81" s="9">
        <v>0</v>
      </c>
      <c r="U81" s="9">
        <v>0</v>
      </c>
      <c r="V81" s="9">
        <v>0</v>
      </c>
      <c r="W81" s="9">
        <v>0</v>
      </c>
      <c r="X81" s="9">
        <v>0</v>
      </c>
      <c r="Y81" s="9">
        <v>0</v>
      </c>
      <c r="Z81" s="9">
        <v>0.2</v>
      </c>
      <c r="AA81" s="9">
        <v>0.2</v>
      </c>
      <c r="AB81" s="9">
        <v>0.2</v>
      </c>
      <c r="AC81" s="9">
        <v>0.2</v>
      </c>
      <c r="AD81" s="9">
        <v>0</v>
      </c>
    </row>
    <row r="82" spans="1:30" ht="63.75" hidden="1" x14ac:dyDescent="0.2">
      <c r="A82" s="7">
        <v>1086</v>
      </c>
      <c r="B82" s="8" t="s">
        <v>533</v>
      </c>
      <c r="C82" s="8" t="s">
        <v>222</v>
      </c>
      <c r="D82" s="9">
        <v>1.9646017699115035E-2</v>
      </c>
      <c r="E82" s="8" t="s">
        <v>452</v>
      </c>
      <c r="F82" s="8" t="str">
        <f t="shared" si="1"/>
        <v>Wk1</v>
      </c>
      <c r="G82" s="9">
        <v>0</v>
      </c>
      <c r="H82" s="9">
        <v>0</v>
      </c>
      <c r="I82" s="9">
        <v>0</v>
      </c>
      <c r="J82" s="9">
        <v>0</v>
      </c>
      <c r="K82" s="9">
        <v>0</v>
      </c>
      <c r="L82" s="9">
        <v>0</v>
      </c>
      <c r="M82" s="9">
        <v>0</v>
      </c>
      <c r="N82" s="9">
        <v>0.5</v>
      </c>
      <c r="O82" s="9">
        <v>1</v>
      </c>
      <c r="P82" s="9">
        <v>0.5</v>
      </c>
      <c r="Q82" s="9">
        <v>0</v>
      </c>
      <c r="R82" s="9">
        <v>0</v>
      </c>
      <c r="S82" s="9">
        <v>0</v>
      </c>
      <c r="T82" s="9">
        <v>0</v>
      </c>
      <c r="U82" s="9">
        <v>0</v>
      </c>
      <c r="V82" s="9">
        <v>0</v>
      </c>
      <c r="W82" s="9">
        <v>0</v>
      </c>
      <c r="X82" s="9">
        <v>0.25</v>
      </c>
      <c r="Y82" s="9">
        <v>0.5</v>
      </c>
      <c r="Z82" s="9">
        <v>0.75</v>
      </c>
      <c r="AA82" s="9">
        <v>1</v>
      </c>
      <c r="AB82" s="9">
        <v>1</v>
      </c>
      <c r="AC82" s="9">
        <v>0.75</v>
      </c>
      <c r="AD82" s="9">
        <v>0.25</v>
      </c>
    </row>
    <row r="83" spans="1:30" ht="38.25" hidden="1" x14ac:dyDescent="0.2">
      <c r="A83" s="7">
        <v>1087</v>
      </c>
      <c r="B83" s="8" t="s">
        <v>418</v>
      </c>
      <c r="C83" s="8" t="s">
        <v>227</v>
      </c>
      <c r="D83" s="9">
        <v>0.10153846153846156</v>
      </c>
      <c r="E83" s="8" t="s">
        <v>453</v>
      </c>
      <c r="F83" s="8" t="str">
        <f t="shared" si="1"/>
        <v>WK1</v>
      </c>
      <c r="G83" s="9">
        <v>0</v>
      </c>
      <c r="H83" s="9">
        <v>0</v>
      </c>
      <c r="I83" s="9">
        <v>0</v>
      </c>
      <c r="J83" s="9">
        <v>0</v>
      </c>
      <c r="K83" s="9">
        <v>0</v>
      </c>
      <c r="L83" s="9">
        <v>0</v>
      </c>
      <c r="M83" s="9">
        <v>0</v>
      </c>
      <c r="N83" s="9">
        <v>1</v>
      </c>
      <c r="O83" s="9">
        <v>1</v>
      </c>
      <c r="P83" s="9">
        <v>1</v>
      </c>
      <c r="Q83" s="9">
        <v>1</v>
      </c>
      <c r="R83" s="9">
        <v>1</v>
      </c>
      <c r="S83" s="9">
        <v>1</v>
      </c>
      <c r="T83" s="9">
        <v>1</v>
      </c>
      <c r="U83" s="9">
        <v>1</v>
      </c>
      <c r="V83" s="9">
        <v>1</v>
      </c>
      <c r="W83" s="9">
        <v>1</v>
      </c>
      <c r="X83" s="9">
        <v>1</v>
      </c>
      <c r="Y83" s="9">
        <v>1</v>
      </c>
      <c r="Z83" s="9">
        <v>1</v>
      </c>
      <c r="AA83" s="9">
        <v>0</v>
      </c>
      <c r="AB83" s="9">
        <v>0</v>
      </c>
      <c r="AC83" s="9">
        <v>0</v>
      </c>
      <c r="AD83" s="9">
        <v>0</v>
      </c>
    </row>
    <row r="84" spans="1:30" ht="51" hidden="1" x14ac:dyDescent="0.2">
      <c r="A84" s="7">
        <v>1088</v>
      </c>
      <c r="B84" s="8" t="s">
        <v>454</v>
      </c>
      <c r="C84" s="8" t="s">
        <v>227</v>
      </c>
      <c r="D84" s="9">
        <v>0.11354838709677421</v>
      </c>
      <c r="E84" s="8" t="s">
        <v>455</v>
      </c>
      <c r="F84" s="8" t="str">
        <f t="shared" si="1"/>
        <v>WK1</v>
      </c>
      <c r="G84" s="9">
        <v>0</v>
      </c>
      <c r="H84" s="9">
        <v>0</v>
      </c>
      <c r="I84" s="9">
        <v>0</v>
      </c>
      <c r="J84" s="9">
        <v>0</v>
      </c>
      <c r="K84" s="9">
        <v>0</v>
      </c>
      <c r="L84" s="9">
        <v>0</v>
      </c>
      <c r="M84" s="9">
        <v>0</v>
      </c>
      <c r="N84" s="9">
        <v>1</v>
      </c>
      <c r="O84" s="9">
        <v>1</v>
      </c>
      <c r="P84" s="9">
        <v>1</v>
      </c>
      <c r="Q84" s="9">
        <v>1</v>
      </c>
      <c r="R84" s="9">
        <v>1</v>
      </c>
      <c r="S84" s="9">
        <v>1</v>
      </c>
      <c r="T84" s="9">
        <v>1</v>
      </c>
      <c r="U84" s="9">
        <v>1</v>
      </c>
      <c r="V84" s="9">
        <v>1</v>
      </c>
      <c r="W84" s="9">
        <v>1</v>
      </c>
      <c r="X84" s="9">
        <v>1</v>
      </c>
      <c r="Y84" s="9">
        <v>1</v>
      </c>
      <c r="Z84" s="9">
        <v>1</v>
      </c>
      <c r="AA84" s="9">
        <v>0</v>
      </c>
      <c r="AB84" s="9">
        <v>0</v>
      </c>
      <c r="AC84" s="9">
        <v>0</v>
      </c>
      <c r="AD84" s="9">
        <v>0</v>
      </c>
    </row>
    <row r="85" spans="1:30" ht="38.25" hidden="1" x14ac:dyDescent="0.2">
      <c r="A85" s="7">
        <v>1089</v>
      </c>
      <c r="B85" s="8" t="s">
        <v>370</v>
      </c>
      <c r="C85" s="8" t="s">
        <v>227</v>
      </c>
      <c r="D85" s="9">
        <v>0.11770000000000003</v>
      </c>
      <c r="E85" s="8" t="s">
        <v>456</v>
      </c>
      <c r="F85" s="8" t="str">
        <f t="shared" si="1"/>
        <v>WK1</v>
      </c>
      <c r="G85" s="9">
        <v>0</v>
      </c>
      <c r="H85" s="9">
        <v>0</v>
      </c>
      <c r="I85" s="9">
        <v>0</v>
      </c>
      <c r="J85" s="9">
        <v>0</v>
      </c>
      <c r="K85" s="9">
        <v>0</v>
      </c>
      <c r="L85" s="9">
        <v>0</v>
      </c>
      <c r="M85" s="9">
        <v>0</v>
      </c>
      <c r="N85" s="9">
        <v>0</v>
      </c>
      <c r="O85" s="9">
        <v>1</v>
      </c>
      <c r="P85" s="9">
        <v>1</v>
      </c>
      <c r="Q85" s="9">
        <v>1</v>
      </c>
      <c r="R85" s="9">
        <v>1</v>
      </c>
      <c r="S85" s="9">
        <v>1</v>
      </c>
      <c r="T85" s="9">
        <v>1</v>
      </c>
      <c r="U85" s="9">
        <v>1</v>
      </c>
      <c r="V85" s="9">
        <v>1</v>
      </c>
      <c r="W85" s="9">
        <v>1</v>
      </c>
      <c r="X85" s="9">
        <v>1</v>
      </c>
      <c r="Y85" s="9">
        <v>0</v>
      </c>
      <c r="Z85" s="9">
        <v>0</v>
      </c>
      <c r="AA85" s="9">
        <v>0</v>
      </c>
      <c r="AB85" s="9">
        <v>0</v>
      </c>
      <c r="AC85" s="9">
        <v>0</v>
      </c>
      <c r="AD85" s="9">
        <v>0</v>
      </c>
    </row>
    <row r="86" spans="1:30" ht="51" hidden="1" x14ac:dyDescent="0.2">
      <c r="A86" s="7">
        <v>1090</v>
      </c>
      <c r="B86" s="8" t="s">
        <v>286</v>
      </c>
      <c r="C86" s="8" t="s">
        <v>227</v>
      </c>
      <c r="D86" s="9">
        <v>0.15166666666666673</v>
      </c>
      <c r="E86" s="8" t="s">
        <v>228</v>
      </c>
      <c r="F86" s="8" t="str">
        <f t="shared" si="1"/>
        <v>WK1</v>
      </c>
      <c r="G86" s="9">
        <v>0</v>
      </c>
      <c r="H86" s="9">
        <v>0</v>
      </c>
      <c r="I86" s="9">
        <v>0</v>
      </c>
      <c r="J86" s="9">
        <v>0</v>
      </c>
      <c r="K86" s="9">
        <v>0</v>
      </c>
      <c r="L86" s="9">
        <v>0</v>
      </c>
      <c r="M86" s="9">
        <v>0</v>
      </c>
      <c r="N86" s="9">
        <v>0.25</v>
      </c>
      <c r="O86" s="9">
        <v>0.5</v>
      </c>
      <c r="P86" s="9">
        <v>1</v>
      </c>
      <c r="Q86" s="9">
        <v>1</v>
      </c>
      <c r="R86" s="9">
        <v>1</v>
      </c>
      <c r="S86" s="9">
        <v>0.75</v>
      </c>
      <c r="T86" s="9">
        <v>0.75</v>
      </c>
      <c r="U86" s="9">
        <v>1</v>
      </c>
      <c r="V86" s="9">
        <v>1</v>
      </c>
      <c r="W86" s="9">
        <v>1</v>
      </c>
      <c r="X86" s="9">
        <v>0.5</v>
      </c>
      <c r="Y86" s="9">
        <v>0.25</v>
      </c>
      <c r="Z86" s="9">
        <v>0</v>
      </c>
      <c r="AA86" s="9">
        <v>0</v>
      </c>
      <c r="AB86" s="9">
        <v>0</v>
      </c>
      <c r="AC86" s="9">
        <v>0</v>
      </c>
      <c r="AD86" s="9">
        <v>0</v>
      </c>
    </row>
    <row r="87" spans="1:30" ht="51" hidden="1" x14ac:dyDescent="0.2">
      <c r="A87" s="7">
        <v>1093</v>
      </c>
      <c r="B87" s="8" t="s">
        <v>170</v>
      </c>
      <c r="C87" s="8" t="s">
        <v>227</v>
      </c>
      <c r="D87" s="9">
        <v>0.05</v>
      </c>
      <c r="E87" s="8" t="s">
        <v>229</v>
      </c>
      <c r="F87" s="8" t="str">
        <f t="shared" si="1"/>
        <v>WK1</v>
      </c>
      <c r="G87" s="9">
        <v>0</v>
      </c>
      <c r="H87" s="9">
        <v>0</v>
      </c>
      <c r="I87" s="9">
        <v>0</v>
      </c>
      <c r="J87" s="9">
        <v>0</v>
      </c>
      <c r="K87" s="9">
        <v>0</v>
      </c>
      <c r="L87" s="9">
        <v>0</v>
      </c>
      <c r="M87" s="9">
        <v>0</v>
      </c>
      <c r="N87" s="9">
        <v>1</v>
      </c>
      <c r="O87" s="9">
        <v>1</v>
      </c>
      <c r="P87" s="9">
        <v>1</v>
      </c>
      <c r="Q87" s="9">
        <v>1</v>
      </c>
      <c r="R87" s="9">
        <v>1</v>
      </c>
      <c r="S87" s="9">
        <v>1</v>
      </c>
      <c r="T87" s="9">
        <v>1</v>
      </c>
      <c r="U87" s="9">
        <v>1</v>
      </c>
      <c r="V87" s="9">
        <v>1</v>
      </c>
      <c r="W87" s="9">
        <v>1</v>
      </c>
      <c r="X87" s="9">
        <v>1</v>
      </c>
      <c r="Y87" s="9">
        <v>1</v>
      </c>
      <c r="Z87" s="9">
        <v>1</v>
      </c>
      <c r="AA87" s="9">
        <v>1</v>
      </c>
      <c r="AB87" s="9">
        <v>0</v>
      </c>
      <c r="AC87" s="9">
        <v>0</v>
      </c>
      <c r="AD87" s="9">
        <v>0</v>
      </c>
    </row>
    <row r="88" spans="1:30" ht="38.25" x14ac:dyDescent="0.2">
      <c r="A88" s="7">
        <v>1094</v>
      </c>
      <c r="B88" s="8" t="s">
        <v>104</v>
      </c>
      <c r="C88" s="8" t="s">
        <v>227</v>
      </c>
      <c r="D88" s="9">
        <v>0.35</v>
      </c>
      <c r="E88" s="8" t="s">
        <v>230</v>
      </c>
      <c r="F88" s="8" t="str">
        <f t="shared" si="1"/>
        <v>WK1</v>
      </c>
      <c r="G88" s="9">
        <v>0</v>
      </c>
      <c r="H88" s="9">
        <v>0</v>
      </c>
      <c r="I88" s="9">
        <v>0</v>
      </c>
      <c r="J88" s="9">
        <v>0</v>
      </c>
      <c r="K88" s="9">
        <v>0</v>
      </c>
      <c r="L88" s="9">
        <v>0</v>
      </c>
      <c r="M88" s="9">
        <v>0.25</v>
      </c>
      <c r="N88" s="9">
        <v>1</v>
      </c>
      <c r="O88" s="9">
        <v>1</v>
      </c>
      <c r="P88" s="9">
        <v>0.25</v>
      </c>
      <c r="Q88" s="9">
        <v>0</v>
      </c>
      <c r="R88" s="9">
        <v>0.25</v>
      </c>
      <c r="S88" s="9">
        <v>1</v>
      </c>
      <c r="T88" s="9">
        <v>1</v>
      </c>
      <c r="U88" s="9">
        <v>0.5</v>
      </c>
      <c r="V88" s="9">
        <v>0</v>
      </c>
      <c r="W88" s="9">
        <v>0</v>
      </c>
      <c r="X88" s="9">
        <v>0.5</v>
      </c>
      <c r="Y88" s="9">
        <v>1</v>
      </c>
      <c r="Z88" s="9">
        <v>1</v>
      </c>
      <c r="AA88" s="9">
        <v>0.5</v>
      </c>
      <c r="AB88" s="9">
        <v>0</v>
      </c>
      <c r="AC88" s="9">
        <v>0</v>
      </c>
      <c r="AD88" s="9">
        <v>0</v>
      </c>
    </row>
    <row r="89" spans="1:30" ht="51" hidden="1" x14ac:dyDescent="0.2">
      <c r="A89" s="7">
        <v>1095</v>
      </c>
      <c r="B89" s="8" t="s">
        <v>273</v>
      </c>
      <c r="C89" s="8" t="s">
        <v>227</v>
      </c>
      <c r="D89" s="9">
        <v>0.16100000000000006</v>
      </c>
      <c r="E89" s="8" t="s">
        <v>231</v>
      </c>
      <c r="F89" s="8" t="str">
        <f t="shared" si="1"/>
        <v>WK1</v>
      </c>
      <c r="G89" s="9">
        <v>0</v>
      </c>
      <c r="H89" s="9">
        <v>0</v>
      </c>
      <c r="I89" s="9">
        <v>0</v>
      </c>
      <c r="J89" s="9">
        <v>0</v>
      </c>
      <c r="K89" s="9">
        <v>0</v>
      </c>
      <c r="L89" s="9">
        <v>0</v>
      </c>
      <c r="M89" s="9">
        <v>0</v>
      </c>
      <c r="N89" s="9">
        <v>0</v>
      </c>
      <c r="O89" s="9">
        <v>1</v>
      </c>
      <c r="P89" s="9">
        <v>1</v>
      </c>
      <c r="Q89" s="9">
        <v>1</v>
      </c>
      <c r="R89" s="9">
        <v>1</v>
      </c>
      <c r="S89" s="9">
        <v>1</v>
      </c>
      <c r="T89" s="9">
        <v>1</v>
      </c>
      <c r="U89" s="9">
        <v>1</v>
      </c>
      <c r="V89" s="9">
        <v>1</v>
      </c>
      <c r="W89" s="9">
        <v>1</v>
      </c>
      <c r="X89" s="9">
        <v>1</v>
      </c>
      <c r="Y89" s="9">
        <v>0</v>
      </c>
      <c r="Z89" s="9">
        <v>0</v>
      </c>
      <c r="AA89" s="9">
        <v>0</v>
      </c>
      <c r="AB89" s="9">
        <v>0</v>
      </c>
      <c r="AC89" s="9">
        <v>0</v>
      </c>
      <c r="AD89" s="9">
        <v>0</v>
      </c>
    </row>
    <row r="90" spans="1:30" ht="38.25" hidden="1" x14ac:dyDescent="0.2">
      <c r="A90" s="7">
        <v>1096</v>
      </c>
      <c r="B90" s="8" t="s">
        <v>423</v>
      </c>
      <c r="C90" s="8" t="s">
        <v>227</v>
      </c>
      <c r="D90" s="9">
        <v>0.10153846153846156</v>
      </c>
      <c r="E90" s="8" t="s">
        <v>457</v>
      </c>
      <c r="F90" s="8" t="str">
        <f t="shared" si="1"/>
        <v>WK1</v>
      </c>
      <c r="G90" s="9">
        <v>0</v>
      </c>
      <c r="H90" s="9">
        <v>0</v>
      </c>
      <c r="I90" s="9">
        <v>0</v>
      </c>
      <c r="J90" s="9">
        <v>0</v>
      </c>
      <c r="K90" s="9">
        <v>0</v>
      </c>
      <c r="L90" s="9">
        <v>0</v>
      </c>
      <c r="M90" s="9">
        <v>0</v>
      </c>
      <c r="N90" s="9">
        <v>0</v>
      </c>
      <c r="O90" s="9">
        <v>0</v>
      </c>
      <c r="P90" s="9">
        <v>0</v>
      </c>
      <c r="Q90" s="9">
        <v>0</v>
      </c>
      <c r="R90" s="9">
        <v>0</v>
      </c>
      <c r="S90" s="9">
        <v>0</v>
      </c>
      <c r="T90" s="9">
        <v>0</v>
      </c>
      <c r="U90" s="9">
        <v>0</v>
      </c>
      <c r="V90" s="9">
        <v>0</v>
      </c>
      <c r="W90" s="9">
        <v>0</v>
      </c>
      <c r="X90" s="9">
        <v>0</v>
      </c>
      <c r="Y90" s="9">
        <v>0</v>
      </c>
      <c r="Z90" s="9">
        <v>0</v>
      </c>
      <c r="AA90" s="9">
        <v>0</v>
      </c>
      <c r="AB90" s="9">
        <v>0</v>
      </c>
      <c r="AC90" s="9">
        <v>0</v>
      </c>
      <c r="AD90" s="9">
        <v>0</v>
      </c>
    </row>
    <row r="91" spans="1:30" ht="51" hidden="1" x14ac:dyDescent="0.2">
      <c r="A91" s="7">
        <v>1097</v>
      </c>
      <c r="B91" s="8" t="s">
        <v>287</v>
      </c>
      <c r="C91" s="8" t="s">
        <v>227</v>
      </c>
      <c r="D91" s="9">
        <v>0.2</v>
      </c>
      <c r="E91" s="8" t="s">
        <v>232</v>
      </c>
      <c r="F91" s="8" t="str">
        <f t="shared" si="1"/>
        <v>Wk1</v>
      </c>
      <c r="G91" s="9">
        <v>0</v>
      </c>
      <c r="H91" s="9">
        <v>0</v>
      </c>
      <c r="I91" s="9">
        <v>0</v>
      </c>
      <c r="J91" s="9">
        <v>0</v>
      </c>
      <c r="K91" s="9">
        <v>0</v>
      </c>
      <c r="L91" s="9">
        <v>0</v>
      </c>
      <c r="M91" s="9">
        <v>0</v>
      </c>
      <c r="N91" s="9">
        <v>0</v>
      </c>
      <c r="O91" s="9">
        <v>0</v>
      </c>
      <c r="P91" s="9">
        <v>0.75</v>
      </c>
      <c r="Q91" s="9">
        <v>1</v>
      </c>
      <c r="R91" s="9">
        <v>1</v>
      </c>
      <c r="S91" s="9">
        <v>0.75</v>
      </c>
      <c r="T91" s="9">
        <v>0.75</v>
      </c>
      <c r="U91" s="9">
        <v>1</v>
      </c>
      <c r="V91" s="9">
        <v>1</v>
      </c>
      <c r="W91" s="9">
        <v>1</v>
      </c>
      <c r="X91" s="9">
        <v>0.75</v>
      </c>
      <c r="Y91" s="9">
        <v>0</v>
      </c>
      <c r="Z91" s="9">
        <v>0</v>
      </c>
      <c r="AA91" s="9">
        <v>0</v>
      </c>
      <c r="AB91" s="9">
        <v>0</v>
      </c>
      <c r="AC91" s="9">
        <v>0</v>
      </c>
      <c r="AD91" s="9">
        <v>0</v>
      </c>
    </row>
    <row r="92" spans="1:30" ht="38.25" hidden="1" x14ac:dyDescent="0.2">
      <c r="A92" s="7">
        <v>1098</v>
      </c>
      <c r="B92" s="8" t="s">
        <v>458</v>
      </c>
      <c r="C92" s="8" t="s">
        <v>227</v>
      </c>
      <c r="D92" s="9">
        <v>0.10468571428571431</v>
      </c>
      <c r="E92" s="8" t="s">
        <v>233</v>
      </c>
      <c r="F92" s="8" t="str">
        <f t="shared" si="1"/>
        <v>WK1</v>
      </c>
      <c r="G92" s="9">
        <v>1</v>
      </c>
      <c r="H92" s="9">
        <v>1</v>
      </c>
      <c r="I92" s="9">
        <v>1</v>
      </c>
      <c r="J92" s="9">
        <v>1</v>
      </c>
      <c r="K92" s="9">
        <v>1</v>
      </c>
      <c r="L92" s="9">
        <v>1</v>
      </c>
      <c r="M92" s="9">
        <v>1</v>
      </c>
      <c r="N92" s="9">
        <v>0.5</v>
      </c>
      <c r="O92" s="9">
        <v>0.25</v>
      </c>
      <c r="P92" s="9">
        <v>0</v>
      </c>
      <c r="Q92" s="9">
        <v>0</v>
      </c>
      <c r="R92" s="9">
        <v>0</v>
      </c>
      <c r="S92" s="9">
        <v>0</v>
      </c>
      <c r="T92" s="9">
        <v>0</v>
      </c>
      <c r="U92" s="9">
        <v>0</v>
      </c>
      <c r="V92" s="9">
        <v>0</v>
      </c>
      <c r="W92" s="9">
        <v>0</v>
      </c>
      <c r="X92" s="9">
        <v>0</v>
      </c>
      <c r="Y92" s="9">
        <v>0</v>
      </c>
      <c r="Z92" s="9">
        <v>0</v>
      </c>
      <c r="AA92" s="9">
        <v>0</v>
      </c>
      <c r="AB92" s="9">
        <v>0</v>
      </c>
      <c r="AC92" s="9">
        <v>0.25</v>
      </c>
      <c r="AD92" s="9">
        <v>0.75</v>
      </c>
    </row>
    <row r="93" spans="1:30" ht="38.25" hidden="1" x14ac:dyDescent="0.2">
      <c r="A93" s="7">
        <v>1099</v>
      </c>
      <c r="B93" s="8" t="s">
        <v>275</v>
      </c>
      <c r="C93" s="8" t="s">
        <v>227</v>
      </c>
      <c r="D93" s="9">
        <v>0.11733333333333335</v>
      </c>
      <c r="E93" s="8" t="s">
        <v>234</v>
      </c>
      <c r="F93" s="8" t="str">
        <f t="shared" si="1"/>
        <v>Wk1</v>
      </c>
      <c r="G93" s="9">
        <v>0</v>
      </c>
      <c r="H93" s="9">
        <v>0</v>
      </c>
      <c r="I93" s="9">
        <v>0</v>
      </c>
      <c r="J93" s="9">
        <v>0</v>
      </c>
      <c r="K93" s="9">
        <v>0</v>
      </c>
      <c r="L93" s="9">
        <v>0</v>
      </c>
      <c r="M93" s="9">
        <v>0</v>
      </c>
      <c r="N93" s="9">
        <v>0.25</v>
      </c>
      <c r="O93" s="9">
        <v>0.5</v>
      </c>
      <c r="P93" s="9">
        <v>1</v>
      </c>
      <c r="Q93" s="9">
        <v>1</v>
      </c>
      <c r="R93" s="9">
        <v>1</v>
      </c>
      <c r="S93" s="9">
        <v>0.75</v>
      </c>
      <c r="T93" s="9">
        <v>0.75</v>
      </c>
      <c r="U93" s="9">
        <v>1</v>
      </c>
      <c r="V93" s="9">
        <v>1</v>
      </c>
      <c r="W93" s="9">
        <v>1</v>
      </c>
      <c r="X93" s="9">
        <v>0.5</v>
      </c>
      <c r="Y93" s="9">
        <v>0.25</v>
      </c>
      <c r="Z93" s="9">
        <v>0</v>
      </c>
      <c r="AA93" s="9">
        <v>0</v>
      </c>
      <c r="AB93" s="9">
        <v>0</v>
      </c>
      <c r="AC93" s="9">
        <v>0</v>
      </c>
      <c r="AD93" s="9">
        <v>0</v>
      </c>
    </row>
    <row r="94" spans="1:30" ht="51" hidden="1" x14ac:dyDescent="0.2">
      <c r="A94" s="7">
        <v>1100</v>
      </c>
      <c r="B94" s="8" t="s">
        <v>235</v>
      </c>
      <c r="C94" s="8" t="s">
        <v>227</v>
      </c>
      <c r="D94" s="9">
        <v>0</v>
      </c>
      <c r="E94" s="8" t="s">
        <v>236</v>
      </c>
      <c r="F94" s="8" t="str">
        <f t="shared" si="1"/>
        <v>WK1</v>
      </c>
      <c r="G94" s="9">
        <v>1</v>
      </c>
      <c r="H94" s="9">
        <v>1</v>
      </c>
      <c r="I94" s="9">
        <v>1</v>
      </c>
      <c r="J94" s="9">
        <v>1</v>
      </c>
      <c r="K94" s="9">
        <v>1</v>
      </c>
      <c r="L94" s="9">
        <v>1</v>
      </c>
      <c r="M94" s="9">
        <v>1</v>
      </c>
      <c r="N94" s="9">
        <v>1</v>
      </c>
      <c r="O94" s="9">
        <v>1</v>
      </c>
      <c r="P94" s="9">
        <v>1</v>
      </c>
      <c r="Q94" s="9">
        <v>1</v>
      </c>
      <c r="R94" s="9">
        <v>1</v>
      </c>
      <c r="S94" s="9">
        <v>1</v>
      </c>
      <c r="T94" s="9">
        <v>1</v>
      </c>
      <c r="U94" s="9">
        <v>1</v>
      </c>
      <c r="V94" s="9">
        <v>1</v>
      </c>
      <c r="W94" s="9">
        <v>1</v>
      </c>
      <c r="X94" s="9">
        <v>1</v>
      </c>
      <c r="Y94" s="9">
        <v>1</v>
      </c>
      <c r="Z94" s="9">
        <v>1</v>
      </c>
      <c r="AA94" s="9">
        <v>1</v>
      </c>
      <c r="AB94" s="9">
        <v>1</v>
      </c>
      <c r="AC94" s="9">
        <v>1</v>
      </c>
      <c r="AD94" s="9">
        <v>1</v>
      </c>
    </row>
    <row r="95" spans="1:30" ht="38.25" hidden="1" x14ac:dyDescent="0.2">
      <c r="A95" s="7">
        <v>1101</v>
      </c>
      <c r="B95" s="8" t="s">
        <v>134</v>
      </c>
      <c r="C95" s="8" t="s">
        <v>227</v>
      </c>
      <c r="D95" s="9">
        <v>1</v>
      </c>
      <c r="E95" s="8" t="s">
        <v>237</v>
      </c>
      <c r="F95" s="8" t="str">
        <f t="shared" si="1"/>
        <v>WK1</v>
      </c>
      <c r="G95" s="9">
        <v>0</v>
      </c>
      <c r="H95" s="9">
        <v>0</v>
      </c>
      <c r="I95" s="9">
        <v>0</v>
      </c>
      <c r="J95" s="9">
        <v>0</v>
      </c>
      <c r="K95" s="9">
        <v>0</v>
      </c>
      <c r="L95" s="9">
        <v>0</v>
      </c>
      <c r="M95" s="9">
        <v>0</v>
      </c>
      <c r="N95" s="9">
        <v>0</v>
      </c>
      <c r="O95" s="9">
        <v>0</v>
      </c>
      <c r="P95" s="9">
        <v>1</v>
      </c>
      <c r="Q95" s="9">
        <v>1</v>
      </c>
      <c r="R95" s="9">
        <v>1</v>
      </c>
      <c r="S95" s="9">
        <v>1</v>
      </c>
      <c r="T95" s="9">
        <v>1</v>
      </c>
      <c r="U95" s="9">
        <v>1</v>
      </c>
      <c r="V95" s="9">
        <v>1</v>
      </c>
      <c r="W95" s="9">
        <v>1</v>
      </c>
      <c r="X95" s="9">
        <v>0</v>
      </c>
      <c r="Y95" s="9">
        <v>0</v>
      </c>
      <c r="Z95" s="9">
        <v>0</v>
      </c>
      <c r="AA95" s="9">
        <v>0</v>
      </c>
      <c r="AB95" s="9">
        <v>0</v>
      </c>
      <c r="AC95" s="9">
        <v>0</v>
      </c>
      <c r="AD95" s="9">
        <v>0</v>
      </c>
    </row>
    <row r="96" spans="1:30" ht="51" hidden="1" x14ac:dyDescent="0.2">
      <c r="A96" s="7">
        <v>1102</v>
      </c>
      <c r="B96" s="8" t="s">
        <v>313</v>
      </c>
      <c r="C96" s="8" t="s">
        <v>227</v>
      </c>
      <c r="D96" s="9">
        <v>0.1</v>
      </c>
      <c r="E96" s="8" t="s">
        <v>238</v>
      </c>
      <c r="F96" s="8" t="str">
        <f t="shared" si="1"/>
        <v>WK1</v>
      </c>
      <c r="G96" s="9">
        <v>0</v>
      </c>
      <c r="H96" s="9">
        <v>0</v>
      </c>
      <c r="I96" s="9">
        <v>0</v>
      </c>
      <c r="J96" s="9">
        <v>0</v>
      </c>
      <c r="K96" s="9">
        <v>0</v>
      </c>
      <c r="L96" s="9">
        <v>0</v>
      </c>
      <c r="M96" s="9">
        <v>0</v>
      </c>
      <c r="N96" s="9">
        <v>0</v>
      </c>
      <c r="O96" s="9">
        <v>0</v>
      </c>
      <c r="P96" s="9">
        <v>1</v>
      </c>
      <c r="Q96" s="9">
        <v>1</v>
      </c>
      <c r="R96" s="9">
        <v>1</v>
      </c>
      <c r="S96" s="9">
        <v>1</v>
      </c>
      <c r="T96" s="9">
        <v>1</v>
      </c>
      <c r="U96" s="9">
        <v>1</v>
      </c>
      <c r="V96" s="9">
        <v>1</v>
      </c>
      <c r="W96" s="9">
        <v>1</v>
      </c>
      <c r="X96" s="9">
        <v>0</v>
      </c>
      <c r="Y96" s="9">
        <v>0</v>
      </c>
      <c r="Z96" s="9">
        <v>0</v>
      </c>
      <c r="AA96" s="9">
        <v>0</v>
      </c>
      <c r="AB96" s="9">
        <v>0</v>
      </c>
      <c r="AC96" s="9">
        <v>0</v>
      </c>
      <c r="AD96" s="9">
        <v>0</v>
      </c>
    </row>
    <row r="97" spans="1:30" ht="51" hidden="1" x14ac:dyDescent="0.2">
      <c r="A97" s="7">
        <v>1103</v>
      </c>
      <c r="B97" s="8" t="s">
        <v>364</v>
      </c>
      <c r="C97" s="8" t="s">
        <v>227</v>
      </c>
      <c r="D97" s="9">
        <v>0.12352459016393443</v>
      </c>
      <c r="E97" s="8" t="s">
        <v>239</v>
      </c>
      <c r="F97" s="8" t="str">
        <f t="shared" si="1"/>
        <v>Wk1</v>
      </c>
      <c r="G97" s="9">
        <v>0</v>
      </c>
      <c r="H97" s="9">
        <v>0</v>
      </c>
      <c r="I97" s="9">
        <v>0</v>
      </c>
      <c r="J97" s="9">
        <v>0</v>
      </c>
      <c r="K97" s="9">
        <v>0</v>
      </c>
      <c r="L97" s="9">
        <v>0</v>
      </c>
      <c r="M97" s="9">
        <v>0</v>
      </c>
      <c r="N97" s="9">
        <v>0.25</v>
      </c>
      <c r="O97" s="9">
        <v>0.5</v>
      </c>
      <c r="P97" s="9">
        <v>1</v>
      </c>
      <c r="Q97" s="9">
        <v>1</v>
      </c>
      <c r="R97" s="9">
        <v>1</v>
      </c>
      <c r="S97" s="9">
        <v>0.75</v>
      </c>
      <c r="T97" s="9">
        <v>0.75</v>
      </c>
      <c r="U97" s="9">
        <v>1</v>
      </c>
      <c r="V97" s="9">
        <v>1</v>
      </c>
      <c r="W97" s="9">
        <v>1</v>
      </c>
      <c r="X97" s="9">
        <v>0.5</v>
      </c>
      <c r="Y97" s="9">
        <v>0.25</v>
      </c>
      <c r="Z97" s="9">
        <v>0</v>
      </c>
      <c r="AA97" s="9">
        <v>0</v>
      </c>
      <c r="AB97" s="9">
        <v>0</v>
      </c>
      <c r="AC97" s="9">
        <v>0</v>
      </c>
      <c r="AD97" s="9">
        <v>0</v>
      </c>
    </row>
    <row r="98" spans="1:30" ht="38.25" hidden="1" x14ac:dyDescent="0.2">
      <c r="A98" s="7">
        <v>1104</v>
      </c>
      <c r="B98" s="8" t="s">
        <v>365</v>
      </c>
      <c r="C98" s="8" t="s">
        <v>227</v>
      </c>
      <c r="D98" s="9">
        <v>0.08</v>
      </c>
      <c r="E98" s="8" t="s">
        <v>240</v>
      </c>
      <c r="F98" s="8" t="str">
        <f t="shared" si="1"/>
        <v>WK1</v>
      </c>
      <c r="G98" s="9">
        <v>0</v>
      </c>
      <c r="H98" s="9">
        <v>0</v>
      </c>
      <c r="I98" s="9">
        <v>0</v>
      </c>
      <c r="J98" s="9">
        <v>0</v>
      </c>
      <c r="K98" s="9">
        <v>0</v>
      </c>
      <c r="L98" s="9">
        <v>0</v>
      </c>
      <c r="M98" s="9">
        <v>0</v>
      </c>
      <c r="N98" s="9">
        <v>0.25</v>
      </c>
      <c r="O98" s="9">
        <v>0.5</v>
      </c>
      <c r="P98" s="9">
        <v>1</v>
      </c>
      <c r="Q98" s="9">
        <v>1</v>
      </c>
      <c r="R98" s="9">
        <v>1</v>
      </c>
      <c r="S98" s="9">
        <v>0.75</v>
      </c>
      <c r="T98" s="9">
        <v>0.75</v>
      </c>
      <c r="U98" s="9">
        <v>1</v>
      </c>
      <c r="V98" s="9">
        <v>1</v>
      </c>
      <c r="W98" s="9">
        <v>1</v>
      </c>
      <c r="X98" s="9">
        <v>0.5</v>
      </c>
      <c r="Y98" s="9">
        <v>0.25</v>
      </c>
      <c r="Z98" s="9">
        <v>0</v>
      </c>
      <c r="AA98" s="9">
        <v>0</v>
      </c>
      <c r="AB98" s="9">
        <v>0</v>
      </c>
      <c r="AC98" s="9">
        <v>0</v>
      </c>
      <c r="AD98" s="9">
        <v>0</v>
      </c>
    </row>
    <row r="99" spans="1:30" ht="51" hidden="1" x14ac:dyDescent="0.2">
      <c r="A99" s="7">
        <v>1105</v>
      </c>
      <c r="B99" s="8" t="s">
        <v>267</v>
      </c>
      <c r="C99" s="8" t="s">
        <v>227</v>
      </c>
      <c r="D99" s="9">
        <v>0.125</v>
      </c>
      <c r="E99" s="8" t="s">
        <v>241</v>
      </c>
      <c r="F99" s="8" t="str">
        <f t="shared" si="1"/>
        <v>WK1</v>
      </c>
      <c r="G99" s="10"/>
      <c r="H99" s="10"/>
      <c r="I99" s="10"/>
      <c r="J99" s="10"/>
      <c r="K99" s="10"/>
      <c r="L99" s="10"/>
      <c r="M99" s="10"/>
      <c r="N99" s="9">
        <v>1</v>
      </c>
      <c r="O99" s="9">
        <v>1</v>
      </c>
      <c r="P99" s="9">
        <v>1</v>
      </c>
      <c r="Q99" s="9">
        <v>1</v>
      </c>
      <c r="R99" s="9">
        <v>1</v>
      </c>
      <c r="S99" s="9">
        <v>1</v>
      </c>
      <c r="T99" s="9">
        <v>1</v>
      </c>
      <c r="U99" s="9">
        <v>1</v>
      </c>
      <c r="V99" s="9">
        <v>1</v>
      </c>
      <c r="W99" s="9">
        <v>1</v>
      </c>
      <c r="X99" s="9">
        <v>1</v>
      </c>
      <c r="Y99" s="9">
        <v>1</v>
      </c>
      <c r="Z99" s="9">
        <v>1</v>
      </c>
      <c r="AA99" s="9">
        <v>1</v>
      </c>
      <c r="AB99" s="10"/>
      <c r="AC99" s="10"/>
      <c r="AD99" s="10"/>
    </row>
    <row r="100" spans="1:30" ht="38.25" hidden="1" x14ac:dyDescent="0.2">
      <c r="A100" s="7">
        <v>1106</v>
      </c>
      <c r="B100" s="8" t="s">
        <v>127</v>
      </c>
      <c r="C100" s="8" t="s">
        <v>227</v>
      </c>
      <c r="D100" s="9">
        <v>0.5</v>
      </c>
      <c r="E100" s="8" t="s">
        <v>242</v>
      </c>
      <c r="F100" s="8" t="str">
        <f t="shared" si="1"/>
        <v>WK1</v>
      </c>
      <c r="G100" s="9">
        <v>0</v>
      </c>
      <c r="H100" s="9">
        <v>0</v>
      </c>
      <c r="I100" s="9">
        <v>0</v>
      </c>
      <c r="J100" s="9">
        <v>0</v>
      </c>
      <c r="K100" s="9">
        <v>0</v>
      </c>
      <c r="L100" s="9">
        <v>0</v>
      </c>
      <c r="M100" s="9">
        <v>0</v>
      </c>
      <c r="N100" s="9">
        <v>0</v>
      </c>
      <c r="O100" s="9">
        <v>1</v>
      </c>
      <c r="P100" s="9">
        <v>1</v>
      </c>
      <c r="Q100" s="9">
        <v>1</v>
      </c>
      <c r="R100" s="9">
        <v>1</v>
      </c>
      <c r="S100" s="9">
        <v>1</v>
      </c>
      <c r="T100" s="9">
        <v>1</v>
      </c>
      <c r="U100" s="9">
        <v>1</v>
      </c>
      <c r="V100" s="9">
        <v>1</v>
      </c>
      <c r="W100" s="9">
        <v>1</v>
      </c>
      <c r="X100" s="9">
        <v>1</v>
      </c>
      <c r="Y100" s="9">
        <v>0</v>
      </c>
      <c r="Z100" s="9">
        <v>0</v>
      </c>
      <c r="AA100" s="9">
        <v>0</v>
      </c>
      <c r="AB100" s="9">
        <v>0</v>
      </c>
      <c r="AC100" s="9">
        <v>0</v>
      </c>
      <c r="AD100" s="9">
        <v>0</v>
      </c>
    </row>
    <row r="101" spans="1:30" ht="38.25" hidden="1" x14ac:dyDescent="0.2">
      <c r="A101" s="7">
        <v>1107</v>
      </c>
      <c r="B101" s="8" t="s">
        <v>92</v>
      </c>
      <c r="C101" s="8" t="s">
        <v>227</v>
      </c>
      <c r="D101" s="9">
        <v>1</v>
      </c>
      <c r="E101" s="8" t="s">
        <v>243</v>
      </c>
      <c r="F101" s="8" t="str">
        <f t="shared" si="1"/>
        <v>Wk1</v>
      </c>
      <c r="G101" s="9">
        <v>0</v>
      </c>
      <c r="H101" s="9">
        <v>0</v>
      </c>
      <c r="I101" s="9">
        <v>0</v>
      </c>
      <c r="J101" s="9">
        <v>0</v>
      </c>
      <c r="K101" s="9">
        <v>0</v>
      </c>
      <c r="L101" s="9">
        <v>0</v>
      </c>
      <c r="M101" s="9">
        <v>0</v>
      </c>
      <c r="N101" s="9">
        <v>0</v>
      </c>
      <c r="O101" s="9">
        <v>0</v>
      </c>
      <c r="P101" s="9">
        <v>1</v>
      </c>
      <c r="Q101" s="9">
        <v>1</v>
      </c>
      <c r="R101" s="9">
        <v>1</v>
      </c>
      <c r="S101" s="9">
        <v>1</v>
      </c>
      <c r="T101" s="9">
        <v>1</v>
      </c>
      <c r="U101" s="9">
        <v>1</v>
      </c>
      <c r="V101" s="9">
        <v>1</v>
      </c>
      <c r="W101" s="9">
        <v>1</v>
      </c>
      <c r="X101" s="9">
        <v>0</v>
      </c>
      <c r="Y101" s="9">
        <v>0</v>
      </c>
      <c r="Z101" s="9">
        <v>0</v>
      </c>
      <c r="AA101" s="9">
        <v>0</v>
      </c>
      <c r="AB101" s="9">
        <v>0</v>
      </c>
      <c r="AC101" s="9">
        <v>0</v>
      </c>
      <c r="AD101" s="9">
        <v>0</v>
      </c>
    </row>
    <row r="102" spans="1:30" ht="51" hidden="1" x14ac:dyDescent="0.2">
      <c r="A102" s="7">
        <v>1108</v>
      </c>
      <c r="B102" s="8" t="s">
        <v>377</v>
      </c>
      <c r="C102" s="8" t="s">
        <v>227</v>
      </c>
      <c r="D102" s="9">
        <v>0.1</v>
      </c>
      <c r="E102" s="8" t="s">
        <v>244</v>
      </c>
      <c r="F102" s="8" t="str">
        <f t="shared" si="1"/>
        <v>WK1</v>
      </c>
      <c r="G102" s="9">
        <v>0</v>
      </c>
      <c r="H102" s="9">
        <v>0</v>
      </c>
      <c r="I102" s="9">
        <v>0</v>
      </c>
      <c r="J102" s="9">
        <v>0</v>
      </c>
      <c r="K102" s="9">
        <v>0</v>
      </c>
      <c r="L102" s="9">
        <v>0</v>
      </c>
      <c r="M102" s="9">
        <v>0</v>
      </c>
      <c r="N102" s="9">
        <v>1</v>
      </c>
      <c r="O102" s="9">
        <v>1</v>
      </c>
      <c r="P102" s="9">
        <v>1</v>
      </c>
      <c r="Q102" s="9">
        <v>1</v>
      </c>
      <c r="R102" s="9">
        <v>1</v>
      </c>
      <c r="S102" s="9">
        <v>1</v>
      </c>
      <c r="T102" s="9">
        <v>1</v>
      </c>
      <c r="U102" s="9">
        <v>1</v>
      </c>
      <c r="V102" s="9">
        <v>1</v>
      </c>
      <c r="W102" s="9">
        <v>1</v>
      </c>
      <c r="X102" s="9">
        <v>1</v>
      </c>
      <c r="Y102" s="9">
        <v>1</v>
      </c>
      <c r="Z102" s="9">
        <v>1</v>
      </c>
      <c r="AA102" s="9">
        <v>1</v>
      </c>
      <c r="AB102" s="9">
        <v>0</v>
      </c>
      <c r="AC102" s="9">
        <v>0</v>
      </c>
      <c r="AD102" s="9">
        <v>0</v>
      </c>
    </row>
    <row r="103" spans="1:30" ht="38.25" hidden="1" x14ac:dyDescent="0.2">
      <c r="A103" s="7">
        <v>1109</v>
      </c>
      <c r="B103" s="8" t="s">
        <v>459</v>
      </c>
      <c r="C103" s="8" t="s">
        <v>227</v>
      </c>
      <c r="D103" s="9">
        <v>0.23411628784905672</v>
      </c>
      <c r="E103" s="8" t="s">
        <v>460</v>
      </c>
      <c r="F103" s="8" t="str">
        <f t="shared" si="1"/>
        <v>WK1</v>
      </c>
      <c r="G103" s="9">
        <v>0</v>
      </c>
      <c r="H103" s="9">
        <v>0</v>
      </c>
      <c r="I103" s="9">
        <v>0</v>
      </c>
      <c r="J103" s="9">
        <v>0</v>
      </c>
      <c r="K103" s="9">
        <v>0</v>
      </c>
      <c r="L103" s="9">
        <v>0</v>
      </c>
      <c r="M103" s="9">
        <v>0.25</v>
      </c>
      <c r="N103" s="9">
        <v>1</v>
      </c>
      <c r="O103" s="9">
        <v>1</v>
      </c>
      <c r="P103" s="9">
        <v>0.25</v>
      </c>
      <c r="Q103" s="9">
        <v>0</v>
      </c>
      <c r="R103" s="9">
        <v>0</v>
      </c>
      <c r="S103" s="9">
        <v>0</v>
      </c>
      <c r="T103" s="9">
        <v>0</v>
      </c>
      <c r="U103" s="9">
        <v>0</v>
      </c>
      <c r="V103" s="9">
        <v>0</v>
      </c>
      <c r="W103" s="9">
        <v>0</v>
      </c>
      <c r="X103" s="9">
        <v>0</v>
      </c>
      <c r="Y103" s="9">
        <v>0.5</v>
      </c>
      <c r="Z103" s="9">
        <v>1</v>
      </c>
      <c r="AA103" s="9">
        <v>1</v>
      </c>
      <c r="AB103" s="9">
        <v>0.3</v>
      </c>
      <c r="AC103" s="9">
        <v>0</v>
      </c>
      <c r="AD103" s="9">
        <v>0</v>
      </c>
    </row>
    <row r="104" spans="1:30" ht="51" hidden="1" x14ac:dyDescent="0.2">
      <c r="A104" s="7">
        <v>1110</v>
      </c>
      <c r="B104" s="8" t="s">
        <v>245</v>
      </c>
      <c r="C104" s="8" t="s">
        <v>227</v>
      </c>
      <c r="D104" s="9">
        <v>0.17515384615384624</v>
      </c>
      <c r="E104" s="8" t="s">
        <v>246</v>
      </c>
      <c r="F104" s="8" t="str">
        <f t="shared" si="1"/>
        <v>WK1</v>
      </c>
      <c r="G104" s="9">
        <v>0</v>
      </c>
      <c r="H104" s="9">
        <v>0</v>
      </c>
      <c r="I104" s="9">
        <v>0</v>
      </c>
      <c r="J104" s="9">
        <v>0</v>
      </c>
      <c r="K104" s="9">
        <v>0</v>
      </c>
      <c r="L104" s="9">
        <v>0</v>
      </c>
      <c r="M104" s="9">
        <v>0</v>
      </c>
      <c r="N104" s="9">
        <v>1</v>
      </c>
      <c r="O104" s="9">
        <v>1</v>
      </c>
      <c r="P104" s="9">
        <v>1</v>
      </c>
      <c r="Q104" s="9">
        <v>1</v>
      </c>
      <c r="R104" s="9">
        <v>1</v>
      </c>
      <c r="S104" s="9">
        <v>1</v>
      </c>
      <c r="T104" s="9">
        <v>1</v>
      </c>
      <c r="U104" s="9">
        <v>1</v>
      </c>
      <c r="V104" s="9">
        <v>1</v>
      </c>
      <c r="W104" s="9">
        <v>1</v>
      </c>
      <c r="X104" s="9">
        <v>1</v>
      </c>
      <c r="Y104" s="9">
        <v>1</v>
      </c>
      <c r="Z104" s="9">
        <v>1</v>
      </c>
      <c r="AA104" s="9">
        <v>0</v>
      </c>
      <c r="AB104" s="9">
        <v>0</v>
      </c>
      <c r="AC104" s="9">
        <v>0</v>
      </c>
      <c r="AD104" s="9">
        <v>0</v>
      </c>
    </row>
    <row r="105" spans="1:30" ht="38.25" hidden="1" x14ac:dyDescent="0.2">
      <c r="A105" s="7">
        <v>1111</v>
      </c>
      <c r="B105" s="8" t="s">
        <v>247</v>
      </c>
      <c r="C105" s="8" t="s">
        <v>227</v>
      </c>
      <c r="D105" s="9">
        <v>0.19500000000000001</v>
      </c>
      <c r="E105" s="8" t="s">
        <v>248</v>
      </c>
      <c r="F105" s="8" t="str">
        <f t="shared" si="1"/>
        <v>WK1</v>
      </c>
      <c r="G105" s="9">
        <v>0</v>
      </c>
      <c r="H105" s="9">
        <v>0</v>
      </c>
      <c r="I105" s="9">
        <v>0</v>
      </c>
      <c r="J105" s="9">
        <v>0</v>
      </c>
      <c r="K105" s="9">
        <v>0</v>
      </c>
      <c r="L105" s="9">
        <v>0</v>
      </c>
      <c r="M105" s="9">
        <v>0</v>
      </c>
      <c r="N105" s="9">
        <v>0.25</v>
      </c>
      <c r="O105" s="9">
        <v>0.5</v>
      </c>
      <c r="P105" s="9">
        <v>1</v>
      </c>
      <c r="Q105" s="9">
        <v>1</v>
      </c>
      <c r="R105" s="9">
        <v>1</v>
      </c>
      <c r="S105" s="9">
        <v>0.75</v>
      </c>
      <c r="T105" s="9">
        <v>0.75</v>
      </c>
      <c r="U105" s="9">
        <v>1</v>
      </c>
      <c r="V105" s="9">
        <v>1</v>
      </c>
      <c r="W105" s="9">
        <v>1</v>
      </c>
      <c r="X105" s="9">
        <v>0.5</v>
      </c>
      <c r="Y105" s="9">
        <v>0.25</v>
      </c>
      <c r="Z105" s="9">
        <v>0</v>
      </c>
      <c r="AA105" s="9">
        <v>0</v>
      </c>
      <c r="AB105" s="9">
        <v>0</v>
      </c>
      <c r="AC105" s="9">
        <v>0</v>
      </c>
      <c r="AD105" s="9">
        <v>0</v>
      </c>
    </row>
    <row r="106" spans="1:30" ht="51" hidden="1" x14ac:dyDescent="0.2">
      <c r="A106" s="7">
        <v>1112</v>
      </c>
      <c r="B106" s="8" t="s">
        <v>369</v>
      </c>
      <c r="C106" s="8" t="s">
        <v>249</v>
      </c>
      <c r="D106" s="9">
        <v>0.11611111111111111</v>
      </c>
      <c r="E106" s="8" t="s">
        <v>461</v>
      </c>
      <c r="F106" s="8" t="str">
        <f t="shared" si="1"/>
        <v>WK1</v>
      </c>
      <c r="G106" s="9">
        <v>0</v>
      </c>
      <c r="H106" s="9">
        <v>0</v>
      </c>
      <c r="I106" s="9">
        <v>0</v>
      </c>
      <c r="J106" s="9">
        <v>0</v>
      </c>
      <c r="K106" s="9">
        <v>0</v>
      </c>
      <c r="L106" s="9">
        <v>0</v>
      </c>
      <c r="M106" s="9">
        <v>0</v>
      </c>
      <c r="N106" s="9">
        <v>0.25</v>
      </c>
      <c r="O106" s="9">
        <v>0.5</v>
      </c>
      <c r="P106" s="9">
        <v>1</v>
      </c>
      <c r="Q106" s="9">
        <v>1</v>
      </c>
      <c r="R106" s="9">
        <v>1</v>
      </c>
      <c r="S106" s="9">
        <v>0.75</v>
      </c>
      <c r="T106" s="9">
        <v>0.75</v>
      </c>
      <c r="U106" s="9">
        <v>1</v>
      </c>
      <c r="V106" s="9">
        <v>1</v>
      </c>
      <c r="W106" s="9">
        <v>1</v>
      </c>
      <c r="X106" s="9">
        <v>0.5</v>
      </c>
      <c r="Y106" s="9">
        <v>0.25</v>
      </c>
      <c r="Z106" s="9">
        <v>0</v>
      </c>
      <c r="AA106" s="9">
        <v>0</v>
      </c>
      <c r="AB106" s="9">
        <v>0</v>
      </c>
      <c r="AC106" s="9">
        <v>0</v>
      </c>
      <c r="AD106" s="9">
        <v>0</v>
      </c>
    </row>
    <row r="107" spans="1:30" ht="38.25" hidden="1" x14ac:dyDescent="0.2">
      <c r="A107" s="7">
        <v>1113</v>
      </c>
      <c r="B107" s="8" t="s">
        <v>423</v>
      </c>
      <c r="C107" s="8" t="s">
        <v>249</v>
      </c>
      <c r="D107" s="9">
        <v>0.11</v>
      </c>
      <c r="E107" s="8" t="s">
        <v>462</v>
      </c>
      <c r="F107" s="8" t="str">
        <f t="shared" si="1"/>
        <v>WK1</v>
      </c>
      <c r="G107" s="9">
        <v>0</v>
      </c>
      <c r="H107" s="9">
        <v>0</v>
      </c>
      <c r="I107" s="9">
        <v>0</v>
      </c>
      <c r="J107" s="9">
        <v>0</v>
      </c>
      <c r="K107" s="9">
        <v>0</v>
      </c>
      <c r="L107" s="9">
        <v>0</v>
      </c>
      <c r="M107" s="9">
        <v>0</v>
      </c>
      <c r="N107" s="9">
        <v>0</v>
      </c>
      <c r="O107" s="9">
        <v>0</v>
      </c>
      <c r="P107" s="9">
        <v>0</v>
      </c>
      <c r="Q107" s="9">
        <v>0</v>
      </c>
      <c r="R107" s="9">
        <v>0</v>
      </c>
      <c r="S107" s="9">
        <v>0</v>
      </c>
      <c r="T107" s="9">
        <v>0</v>
      </c>
      <c r="U107" s="9">
        <v>0</v>
      </c>
      <c r="V107" s="9">
        <v>0</v>
      </c>
      <c r="W107" s="9">
        <v>0</v>
      </c>
      <c r="X107" s="9">
        <v>0</v>
      </c>
      <c r="Y107" s="9">
        <v>0</v>
      </c>
      <c r="Z107" s="9">
        <v>0</v>
      </c>
      <c r="AA107" s="9">
        <v>0</v>
      </c>
      <c r="AB107" s="9">
        <v>0</v>
      </c>
      <c r="AC107" s="9">
        <v>0</v>
      </c>
      <c r="AD107" s="9">
        <v>0</v>
      </c>
    </row>
    <row r="108" spans="1:30" ht="51" hidden="1" x14ac:dyDescent="0.2">
      <c r="A108" s="7">
        <v>1114</v>
      </c>
      <c r="B108" s="8" t="s">
        <v>286</v>
      </c>
      <c r="C108" s="8" t="s">
        <v>249</v>
      </c>
      <c r="D108" s="9">
        <v>0.12100000000000005</v>
      </c>
      <c r="E108" s="8" t="s">
        <v>250</v>
      </c>
      <c r="F108" s="8" t="str">
        <f t="shared" si="1"/>
        <v>WK1</v>
      </c>
      <c r="G108" s="9">
        <v>0</v>
      </c>
      <c r="H108" s="9">
        <v>0</v>
      </c>
      <c r="I108" s="9">
        <v>0</v>
      </c>
      <c r="J108" s="9">
        <v>0</v>
      </c>
      <c r="K108" s="9">
        <v>0</v>
      </c>
      <c r="L108" s="9">
        <v>0</v>
      </c>
      <c r="M108" s="9">
        <v>0</v>
      </c>
      <c r="N108" s="9">
        <v>0</v>
      </c>
      <c r="O108" s="9">
        <v>1</v>
      </c>
      <c r="P108" s="9">
        <v>1</v>
      </c>
      <c r="Q108" s="9">
        <v>1</v>
      </c>
      <c r="R108" s="9">
        <v>1</v>
      </c>
      <c r="S108" s="9">
        <v>1</v>
      </c>
      <c r="T108" s="9">
        <v>1</v>
      </c>
      <c r="U108" s="9">
        <v>1</v>
      </c>
      <c r="V108" s="9">
        <v>1</v>
      </c>
      <c r="W108" s="9">
        <v>1</v>
      </c>
      <c r="X108" s="9">
        <v>1</v>
      </c>
      <c r="Y108" s="9">
        <v>0</v>
      </c>
      <c r="Z108" s="9">
        <v>0</v>
      </c>
      <c r="AA108" s="9">
        <v>0</v>
      </c>
      <c r="AB108" s="9">
        <v>0</v>
      </c>
      <c r="AC108" s="9">
        <v>0</v>
      </c>
      <c r="AD108" s="9">
        <v>0</v>
      </c>
    </row>
    <row r="109" spans="1:30" ht="38.25" hidden="1" x14ac:dyDescent="0.2">
      <c r="A109" s="7">
        <v>1115</v>
      </c>
      <c r="B109" s="8" t="s">
        <v>418</v>
      </c>
      <c r="C109" s="8" t="s">
        <v>249</v>
      </c>
      <c r="D109" s="9">
        <v>0.11846153846153853</v>
      </c>
      <c r="E109" s="8" t="s">
        <v>463</v>
      </c>
      <c r="F109" s="8" t="str">
        <f t="shared" si="1"/>
        <v>WK1</v>
      </c>
      <c r="G109" s="9">
        <v>0</v>
      </c>
      <c r="H109" s="9">
        <v>0</v>
      </c>
      <c r="I109" s="9">
        <v>0</v>
      </c>
      <c r="J109" s="9">
        <v>0</v>
      </c>
      <c r="K109" s="9">
        <v>0</v>
      </c>
      <c r="L109" s="9">
        <v>0</v>
      </c>
      <c r="M109" s="9">
        <v>0</v>
      </c>
      <c r="N109" s="9">
        <v>1</v>
      </c>
      <c r="O109" s="9">
        <v>1</v>
      </c>
      <c r="P109" s="9">
        <v>1</v>
      </c>
      <c r="Q109" s="9">
        <v>1</v>
      </c>
      <c r="R109" s="9">
        <v>1</v>
      </c>
      <c r="S109" s="9">
        <v>1</v>
      </c>
      <c r="T109" s="9">
        <v>1</v>
      </c>
      <c r="U109" s="9">
        <v>1</v>
      </c>
      <c r="V109" s="9">
        <v>1</v>
      </c>
      <c r="W109" s="9">
        <v>1</v>
      </c>
      <c r="X109" s="9">
        <v>1</v>
      </c>
      <c r="Y109" s="9">
        <v>1</v>
      </c>
      <c r="Z109" s="9">
        <v>1</v>
      </c>
      <c r="AA109" s="9">
        <v>0</v>
      </c>
      <c r="AB109" s="9">
        <v>0</v>
      </c>
      <c r="AC109" s="9">
        <v>0</v>
      </c>
      <c r="AD109" s="9">
        <v>0</v>
      </c>
    </row>
    <row r="110" spans="1:30" ht="38.25" hidden="1" x14ac:dyDescent="0.2">
      <c r="A110" s="7">
        <v>1118</v>
      </c>
      <c r="B110" s="8" t="s">
        <v>370</v>
      </c>
      <c r="C110" s="8" t="s">
        <v>249</v>
      </c>
      <c r="D110" s="9">
        <v>0.11888888888148146</v>
      </c>
      <c r="E110" s="8" t="s">
        <v>464</v>
      </c>
      <c r="F110" s="8" t="str">
        <f t="shared" si="1"/>
        <v>WK1</v>
      </c>
      <c r="G110" s="9">
        <v>0</v>
      </c>
      <c r="H110" s="9">
        <v>0</v>
      </c>
      <c r="I110" s="9">
        <v>0</v>
      </c>
      <c r="J110" s="9">
        <v>0</v>
      </c>
      <c r="K110" s="9">
        <v>0</v>
      </c>
      <c r="L110" s="9">
        <v>0</v>
      </c>
      <c r="M110" s="9">
        <v>0</v>
      </c>
      <c r="N110" s="9">
        <v>0.25</v>
      </c>
      <c r="O110" s="9">
        <v>0.5</v>
      </c>
      <c r="P110" s="9">
        <v>1</v>
      </c>
      <c r="Q110" s="9">
        <v>1</v>
      </c>
      <c r="R110" s="9">
        <v>1</v>
      </c>
      <c r="S110" s="9">
        <v>0.75</v>
      </c>
      <c r="T110" s="9">
        <v>0.75</v>
      </c>
      <c r="U110" s="9">
        <v>1</v>
      </c>
      <c r="V110" s="9">
        <v>1</v>
      </c>
      <c r="W110" s="9">
        <v>1</v>
      </c>
      <c r="X110" s="9">
        <v>0.5</v>
      </c>
      <c r="Y110" s="9">
        <v>0.25</v>
      </c>
      <c r="Z110" s="9">
        <v>0</v>
      </c>
      <c r="AA110" s="9">
        <v>0</v>
      </c>
      <c r="AB110" s="9">
        <v>0</v>
      </c>
      <c r="AC110" s="9">
        <v>0</v>
      </c>
      <c r="AD110" s="9">
        <v>0</v>
      </c>
    </row>
    <row r="111" spans="1:30" ht="38.25" hidden="1" x14ac:dyDescent="0.2">
      <c r="A111" s="9">
        <v>1118</v>
      </c>
      <c r="B111" s="8" t="s">
        <v>370</v>
      </c>
      <c r="C111" s="8" t="s">
        <v>249</v>
      </c>
      <c r="D111" s="9">
        <v>0.11888888888148146</v>
      </c>
      <c r="E111" s="8" t="s">
        <v>540</v>
      </c>
      <c r="F111" s="8" t="str">
        <f t="shared" si="1"/>
        <v>Wk2</v>
      </c>
      <c r="G111" s="9">
        <v>0</v>
      </c>
      <c r="H111" s="9">
        <v>0</v>
      </c>
      <c r="I111" s="9">
        <v>0</v>
      </c>
      <c r="J111" s="9">
        <v>0</v>
      </c>
      <c r="K111" s="9">
        <v>0</v>
      </c>
      <c r="L111" s="9">
        <v>0</v>
      </c>
      <c r="M111" s="9">
        <v>0</v>
      </c>
      <c r="N111" s="9">
        <v>0.25</v>
      </c>
      <c r="O111" s="9">
        <v>0.5</v>
      </c>
      <c r="P111" s="9">
        <v>1</v>
      </c>
      <c r="Q111" s="9">
        <v>1</v>
      </c>
      <c r="R111" s="9">
        <v>1</v>
      </c>
      <c r="S111" s="9">
        <v>0.75</v>
      </c>
      <c r="T111" s="9">
        <v>0.75</v>
      </c>
      <c r="U111" s="9">
        <v>1</v>
      </c>
      <c r="V111" s="9">
        <v>1</v>
      </c>
      <c r="W111" s="9">
        <v>1</v>
      </c>
      <c r="X111" s="9">
        <v>0.5</v>
      </c>
      <c r="Y111" s="9">
        <v>0.25</v>
      </c>
      <c r="Z111" s="9">
        <v>0</v>
      </c>
      <c r="AA111" s="9">
        <v>0</v>
      </c>
      <c r="AB111" s="9">
        <v>0</v>
      </c>
      <c r="AC111" s="9">
        <v>0</v>
      </c>
      <c r="AD111" s="9">
        <v>0</v>
      </c>
    </row>
    <row r="112" spans="1:30" ht="51" hidden="1" x14ac:dyDescent="0.2">
      <c r="A112" s="7">
        <v>1119</v>
      </c>
      <c r="B112" s="8" t="s">
        <v>251</v>
      </c>
      <c r="C112" s="8" t="s">
        <v>249</v>
      </c>
      <c r="D112" s="9">
        <v>0.18461538461538468</v>
      </c>
      <c r="E112" s="8" t="s">
        <v>252</v>
      </c>
      <c r="F112" s="8" t="str">
        <f t="shared" si="1"/>
        <v>WK1</v>
      </c>
      <c r="G112" s="9">
        <v>0</v>
      </c>
      <c r="H112" s="9">
        <v>0</v>
      </c>
      <c r="I112" s="9">
        <v>0</v>
      </c>
      <c r="J112" s="9">
        <v>0</v>
      </c>
      <c r="K112" s="9">
        <v>0</v>
      </c>
      <c r="L112" s="9">
        <v>0</v>
      </c>
      <c r="M112" s="9">
        <v>0</v>
      </c>
      <c r="N112" s="9">
        <v>1</v>
      </c>
      <c r="O112" s="9">
        <v>1</v>
      </c>
      <c r="P112" s="9">
        <v>1</v>
      </c>
      <c r="Q112" s="9">
        <v>1</v>
      </c>
      <c r="R112" s="9">
        <v>1</v>
      </c>
      <c r="S112" s="9">
        <v>1</v>
      </c>
      <c r="T112" s="9">
        <v>1</v>
      </c>
      <c r="U112" s="9">
        <v>1</v>
      </c>
      <c r="V112" s="9">
        <v>1</v>
      </c>
      <c r="W112" s="9">
        <v>1</v>
      </c>
      <c r="X112" s="9">
        <v>1</v>
      </c>
      <c r="Y112" s="9">
        <v>1</v>
      </c>
      <c r="Z112" s="9">
        <v>1</v>
      </c>
      <c r="AA112" s="9">
        <v>0</v>
      </c>
      <c r="AB112" s="9">
        <v>0</v>
      </c>
      <c r="AC112" s="9">
        <v>0</v>
      </c>
      <c r="AD112" s="9">
        <v>0</v>
      </c>
    </row>
    <row r="113" spans="1:30" ht="51" hidden="1" x14ac:dyDescent="0.2">
      <c r="A113" s="7">
        <v>1120</v>
      </c>
      <c r="B113" s="8" t="s">
        <v>34</v>
      </c>
      <c r="C113" s="8" t="s">
        <v>249</v>
      </c>
      <c r="D113" s="9">
        <v>0.2049319727945578</v>
      </c>
      <c r="E113" s="8" t="s">
        <v>35</v>
      </c>
      <c r="F113" s="8" t="str">
        <f t="shared" si="1"/>
        <v>Wk1</v>
      </c>
      <c r="G113" s="9">
        <v>0</v>
      </c>
      <c r="H113" s="9">
        <v>0</v>
      </c>
      <c r="I113" s="9">
        <v>0</v>
      </c>
      <c r="J113" s="9">
        <v>0</v>
      </c>
      <c r="K113" s="9">
        <v>0</v>
      </c>
      <c r="L113" s="9">
        <v>0</v>
      </c>
      <c r="M113" s="9">
        <v>0</v>
      </c>
      <c r="N113" s="9">
        <v>1</v>
      </c>
      <c r="O113" s="9">
        <v>1</v>
      </c>
      <c r="P113" s="9">
        <v>1</v>
      </c>
      <c r="Q113" s="9">
        <v>1</v>
      </c>
      <c r="R113" s="9">
        <v>1</v>
      </c>
      <c r="S113" s="9">
        <v>1</v>
      </c>
      <c r="T113" s="9">
        <v>1</v>
      </c>
      <c r="U113" s="9">
        <v>1</v>
      </c>
      <c r="V113" s="9">
        <v>1</v>
      </c>
      <c r="W113" s="9">
        <v>1</v>
      </c>
      <c r="X113" s="9">
        <v>1</v>
      </c>
      <c r="Y113" s="9">
        <v>1</v>
      </c>
      <c r="Z113" s="9">
        <v>1</v>
      </c>
      <c r="AA113" s="9">
        <v>1</v>
      </c>
      <c r="AB113" s="9">
        <v>0</v>
      </c>
      <c r="AC113" s="9">
        <v>0</v>
      </c>
      <c r="AD113" s="9">
        <v>0</v>
      </c>
    </row>
    <row r="114" spans="1:30" ht="51" hidden="1" x14ac:dyDescent="0.2">
      <c r="A114" s="9">
        <v>1120</v>
      </c>
      <c r="B114" s="8" t="s">
        <v>34</v>
      </c>
      <c r="C114" s="8" t="s">
        <v>249</v>
      </c>
      <c r="D114" s="9">
        <v>0.2049319727945578</v>
      </c>
      <c r="E114" s="8" t="s">
        <v>541</v>
      </c>
      <c r="F114" s="8" t="str">
        <f t="shared" si="1"/>
        <v>Wk2</v>
      </c>
      <c r="G114" s="9">
        <v>0</v>
      </c>
      <c r="H114" s="9">
        <v>0</v>
      </c>
      <c r="I114" s="9">
        <v>0</v>
      </c>
      <c r="J114" s="9">
        <v>0</v>
      </c>
      <c r="K114" s="9">
        <v>0</v>
      </c>
      <c r="L114" s="9">
        <v>0</v>
      </c>
      <c r="M114" s="9">
        <v>0</v>
      </c>
      <c r="N114" s="9">
        <v>1</v>
      </c>
      <c r="O114" s="9">
        <v>1</v>
      </c>
      <c r="P114" s="9">
        <v>1</v>
      </c>
      <c r="Q114" s="9">
        <v>1</v>
      </c>
      <c r="R114" s="9">
        <v>1</v>
      </c>
      <c r="S114" s="9">
        <v>1</v>
      </c>
      <c r="T114" s="9">
        <v>1</v>
      </c>
      <c r="U114" s="9">
        <v>1</v>
      </c>
      <c r="V114" s="9">
        <v>1</v>
      </c>
      <c r="W114" s="9">
        <v>1</v>
      </c>
      <c r="X114" s="9">
        <v>1</v>
      </c>
      <c r="Y114" s="9">
        <v>1</v>
      </c>
      <c r="Z114" s="9">
        <v>1</v>
      </c>
      <c r="AA114" s="9">
        <v>1</v>
      </c>
      <c r="AB114" s="9">
        <v>0</v>
      </c>
      <c r="AC114" s="9">
        <v>0</v>
      </c>
      <c r="AD114" s="9">
        <v>0</v>
      </c>
    </row>
    <row r="115" spans="1:30" ht="51" hidden="1" x14ac:dyDescent="0.2">
      <c r="A115" s="7">
        <v>1121</v>
      </c>
      <c r="B115" s="8" t="s">
        <v>273</v>
      </c>
      <c r="C115" s="8" t="s">
        <v>249</v>
      </c>
      <c r="D115" s="9">
        <v>0.11846153846153853</v>
      </c>
      <c r="E115" s="8" t="s">
        <v>36</v>
      </c>
      <c r="F115" s="8" t="str">
        <f t="shared" si="1"/>
        <v>WK1</v>
      </c>
      <c r="G115" s="9">
        <v>0</v>
      </c>
      <c r="H115" s="9">
        <v>0</v>
      </c>
      <c r="I115" s="9">
        <v>0</v>
      </c>
      <c r="J115" s="9">
        <v>0</v>
      </c>
      <c r="K115" s="9">
        <v>0</v>
      </c>
      <c r="L115" s="9">
        <v>0</v>
      </c>
      <c r="M115" s="9">
        <v>0</v>
      </c>
      <c r="N115" s="9">
        <v>1</v>
      </c>
      <c r="O115" s="9">
        <v>1</v>
      </c>
      <c r="P115" s="9">
        <v>1</v>
      </c>
      <c r="Q115" s="9">
        <v>1</v>
      </c>
      <c r="R115" s="9">
        <v>1</v>
      </c>
      <c r="S115" s="9">
        <v>1</v>
      </c>
      <c r="T115" s="9">
        <v>1</v>
      </c>
      <c r="U115" s="9">
        <v>1</v>
      </c>
      <c r="V115" s="9">
        <v>1</v>
      </c>
      <c r="W115" s="9">
        <v>1</v>
      </c>
      <c r="X115" s="9">
        <v>1</v>
      </c>
      <c r="Y115" s="9">
        <v>1</v>
      </c>
      <c r="Z115" s="9">
        <v>1</v>
      </c>
      <c r="AA115" s="9">
        <v>0</v>
      </c>
      <c r="AB115" s="9">
        <v>0</v>
      </c>
      <c r="AC115" s="9">
        <v>0</v>
      </c>
      <c r="AD115" s="9">
        <v>0</v>
      </c>
    </row>
    <row r="116" spans="1:30" ht="51" x14ac:dyDescent="0.2">
      <c r="A116" s="7">
        <v>1122</v>
      </c>
      <c r="B116" s="8" t="s">
        <v>104</v>
      </c>
      <c r="C116" s="8" t="s">
        <v>249</v>
      </c>
      <c r="D116" s="9">
        <v>0.21428571428571427</v>
      </c>
      <c r="E116" s="8" t="s">
        <v>37</v>
      </c>
      <c r="F116" s="8" t="str">
        <f t="shared" si="1"/>
        <v>WK1</v>
      </c>
      <c r="G116" s="9">
        <v>0</v>
      </c>
      <c r="H116" s="9">
        <v>0</v>
      </c>
      <c r="I116" s="9">
        <v>0</v>
      </c>
      <c r="J116" s="9">
        <v>0</v>
      </c>
      <c r="K116" s="9">
        <v>0</v>
      </c>
      <c r="L116" s="9">
        <v>0</v>
      </c>
      <c r="M116" s="9">
        <v>0</v>
      </c>
      <c r="N116" s="9">
        <v>1</v>
      </c>
      <c r="O116" s="9">
        <v>1</v>
      </c>
      <c r="P116" s="9">
        <v>1</v>
      </c>
      <c r="Q116" s="9">
        <v>1</v>
      </c>
      <c r="R116" s="9">
        <v>1</v>
      </c>
      <c r="S116" s="9">
        <v>1</v>
      </c>
      <c r="T116" s="9">
        <v>1</v>
      </c>
      <c r="U116" s="9">
        <v>1</v>
      </c>
      <c r="V116" s="9">
        <v>1</v>
      </c>
      <c r="W116" s="9">
        <v>1</v>
      </c>
      <c r="X116" s="9">
        <v>1</v>
      </c>
      <c r="Y116" s="9">
        <v>1</v>
      </c>
      <c r="Z116" s="9">
        <v>1</v>
      </c>
      <c r="AA116" s="9">
        <v>1</v>
      </c>
      <c r="AB116" s="9">
        <v>0</v>
      </c>
      <c r="AC116" s="9">
        <v>0</v>
      </c>
      <c r="AD116" s="9">
        <v>0</v>
      </c>
    </row>
    <row r="117" spans="1:30" ht="38.25" hidden="1" x14ac:dyDescent="0.2">
      <c r="A117" s="7">
        <v>1123</v>
      </c>
      <c r="B117" s="8" t="s">
        <v>425</v>
      </c>
      <c r="C117" s="8" t="s">
        <v>249</v>
      </c>
      <c r="D117" s="9">
        <v>0.12264814814266667</v>
      </c>
      <c r="E117" s="8" t="s">
        <v>38</v>
      </c>
      <c r="F117" s="8" t="str">
        <f t="shared" si="1"/>
        <v>WK1</v>
      </c>
      <c r="G117" s="9">
        <v>0</v>
      </c>
      <c r="H117" s="9">
        <v>0</v>
      </c>
      <c r="I117" s="9">
        <v>0</v>
      </c>
      <c r="J117" s="9">
        <v>0</v>
      </c>
      <c r="K117" s="9">
        <v>0</v>
      </c>
      <c r="L117" s="9">
        <v>0</v>
      </c>
      <c r="M117" s="9">
        <v>0</v>
      </c>
      <c r="N117" s="9">
        <v>0.25</v>
      </c>
      <c r="O117" s="9">
        <v>0.5</v>
      </c>
      <c r="P117" s="9">
        <v>1</v>
      </c>
      <c r="Q117" s="9">
        <v>1</v>
      </c>
      <c r="R117" s="9">
        <v>1</v>
      </c>
      <c r="S117" s="9">
        <v>0.75</v>
      </c>
      <c r="T117" s="9">
        <v>0.75</v>
      </c>
      <c r="U117" s="9">
        <v>1</v>
      </c>
      <c r="V117" s="9">
        <v>1</v>
      </c>
      <c r="W117" s="9">
        <v>1</v>
      </c>
      <c r="X117" s="9">
        <v>0.5</v>
      </c>
      <c r="Y117" s="9">
        <v>0.25</v>
      </c>
      <c r="Z117" s="9">
        <v>0</v>
      </c>
      <c r="AA117" s="9">
        <v>0</v>
      </c>
      <c r="AB117" s="9">
        <v>0</v>
      </c>
      <c r="AC117" s="9">
        <v>0</v>
      </c>
      <c r="AD117" s="9">
        <v>0</v>
      </c>
    </row>
    <row r="118" spans="1:30" ht="38.25" hidden="1" x14ac:dyDescent="0.2">
      <c r="A118" s="7">
        <v>1124</v>
      </c>
      <c r="B118" s="8" t="s">
        <v>39</v>
      </c>
      <c r="C118" s="8" t="s">
        <v>249</v>
      </c>
      <c r="D118" s="9">
        <v>0.34143518515517246</v>
      </c>
      <c r="E118" s="8" t="s">
        <v>542</v>
      </c>
      <c r="F118" s="8" t="str">
        <f t="shared" si="1"/>
        <v>Wk1</v>
      </c>
      <c r="G118" s="9">
        <v>0</v>
      </c>
      <c r="H118" s="9">
        <v>0</v>
      </c>
      <c r="I118" s="9">
        <v>0</v>
      </c>
      <c r="J118" s="9">
        <v>0</v>
      </c>
      <c r="K118" s="9">
        <v>0</v>
      </c>
      <c r="L118" s="9">
        <v>0</v>
      </c>
      <c r="M118" s="9">
        <v>0</v>
      </c>
      <c r="N118" s="9">
        <v>0</v>
      </c>
      <c r="O118" s="9">
        <v>0</v>
      </c>
      <c r="P118" s="9">
        <v>0.25</v>
      </c>
      <c r="Q118" s="9">
        <v>0.25</v>
      </c>
      <c r="R118" s="9">
        <v>0.25</v>
      </c>
      <c r="S118" s="9">
        <v>0.25</v>
      </c>
      <c r="T118" s="9">
        <v>0.25</v>
      </c>
      <c r="U118" s="9">
        <v>0.25</v>
      </c>
      <c r="V118" s="9">
        <v>0.25</v>
      </c>
      <c r="W118" s="9">
        <v>0.25</v>
      </c>
      <c r="X118" s="9">
        <v>0</v>
      </c>
      <c r="Y118" s="9">
        <v>0</v>
      </c>
      <c r="Z118" s="9">
        <v>0</v>
      </c>
      <c r="AA118" s="9">
        <v>0</v>
      </c>
      <c r="AB118" s="9">
        <v>0</v>
      </c>
      <c r="AC118" s="9">
        <v>0</v>
      </c>
      <c r="AD118" s="9">
        <v>0</v>
      </c>
    </row>
    <row r="119" spans="1:30" ht="38.25" hidden="1" x14ac:dyDescent="0.2">
      <c r="A119" s="9">
        <v>1124</v>
      </c>
      <c r="B119" s="8" t="s">
        <v>39</v>
      </c>
      <c r="C119" s="8" t="s">
        <v>249</v>
      </c>
      <c r="D119" s="9">
        <v>0.34143518515517246</v>
      </c>
      <c r="E119" s="8" t="s">
        <v>40</v>
      </c>
      <c r="F119" s="8" t="str">
        <f t="shared" si="1"/>
        <v>Wk2</v>
      </c>
      <c r="G119" s="9">
        <v>0</v>
      </c>
      <c r="H119" s="9">
        <v>0</v>
      </c>
      <c r="I119" s="9">
        <v>0</v>
      </c>
      <c r="J119" s="9">
        <v>0</v>
      </c>
      <c r="K119" s="9">
        <v>0</v>
      </c>
      <c r="L119" s="9">
        <v>0</v>
      </c>
      <c r="M119" s="9">
        <v>0</v>
      </c>
      <c r="N119" s="9">
        <v>1</v>
      </c>
      <c r="O119" s="9">
        <v>1</v>
      </c>
      <c r="P119" s="9">
        <v>1</v>
      </c>
      <c r="Q119" s="9">
        <v>1</v>
      </c>
      <c r="R119" s="9">
        <v>1</v>
      </c>
      <c r="S119" s="9">
        <v>1</v>
      </c>
      <c r="T119" s="9">
        <v>1</v>
      </c>
      <c r="U119" s="9">
        <v>1</v>
      </c>
      <c r="V119" s="9">
        <v>1</v>
      </c>
      <c r="W119" s="9">
        <v>1</v>
      </c>
      <c r="X119" s="9">
        <v>1</v>
      </c>
      <c r="Y119" s="9">
        <v>1</v>
      </c>
      <c r="Z119" s="9">
        <v>1</v>
      </c>
      <c r="AA119" s="9">
        <v>1</v>
      </c>
      <c r="AB119" s="9">
        <v>0</v>
      </c>
      <c r="AC119" s="9">
        <v>0</v>
      </c>
      <c r="AD119" s="9">
        <v>0</v>
      </c>
    </row>
    <row r="120" spans="1:30" ht="51" hidden="1" x14ac:dyDescent="0.2">
      <c r="A120" s="7">
        <v>1125</v>
      </c>
      <c r="B120" s="8" t="s">
        <v>418</v>
      </c>
      <c r="C120" s="8" t="s">
        <v>41</v>
      </c>
      <c r="D120" s="9">
        <v>0.12100000000000005</v>
      </c>
      <c r="E120" s="8" t="s">
        <v>543</v>
      </c>
      <c r="F120" s="8" t="str">
        <f t="shared" si="1"/>
        <v>WK1</v>
      </c>
      <c r="G120" s="9">
        <v>0</v>
      </c>
      <c r="H120" s="9">
        <v>0</v>
      </c>
      <c r="I120" s="9">
        <v>0</v>
      </c>
      <c r="J120" s="9">
        <v>0</v>
      </c>
      <c r="K120" s="9">
        <v>0</v>
      </c>
      <c r="L120" s="9">
        <v>0</v>
      </c>
      <c r="M120" s="9">
        <v>0</v>
      </c>
      <c r="N120" s="9">
        <v>0</v>
      </c>
      <c r="O120" s="9">
        <v>1</v>
      </c>
      <c r="P120" s="9">
        <v>1</v>
      </c>
      <c r="Q120" s="9">
        <v>1</v>
      </c>
      <c r="R120" s="9">
        <v>1</v>
      </c>
      <c r="S120" s="9">
        <v>1</v>
      </c>
      <c r="T120" s="9">
        <v>1</v>
      </c>
      <c r="U120" s="9">
        <v>1</v>
      </c>
      <c r="V120" s="9">
        <v>1</v>
      </c>
      <c r="W120" s="9">
        <v>1</v>
      </c>
      <c r="X120" s="9">
        <v>1</v>
      </c>
      <c r="Y120" s="9">
        <v>0</v>
      </c>
      <c r="Z120" s="9">
        <v>0</v>
      </c>
      <c r="AA120" s="9">
        <v>0</v>
      </c>
      <c r="AB120" s="9">
        <v>0</v>
      </c>
      <c r="AC120" s="9">
        <v>0</v>
      </c>
      <c r="AD120" s="9">
        <v>0</v>
      </c>
    </row>
    <row r="121" spans="1:30" ht="51" hidden="1" x14ac:dyDescent="0.2">
      <c r="A121" s="7">
        <v>1126</v>
      </c>
      <c r="B121" s="8" t="s">
        <v>420</v>
      </c>
      <c r="C121" s="8" t="s">
        <v>41</v>
      </c>
      <c r="D121" s="9">
        <v>0.12100000000000005</v>
      </c>
      <c r="E121" s="8" t="s">
        <v>544</v>
      </c>
      <c r="F121" s="8" t="str">
        <f t="shared" si="1"/>
        <v>WK1</v>
      </c>
      <c r="G121" s="9">
        <v>0</v>
      </c>
      <c r="H121" s="9">
        <v>0</v>
      </c>
      <c r="I121" s="9">
        <v>0</v>
      </c>
      <c r="J121" s="9">
        <v>0</v>
      </c>
      <c r="K121" s="9">
        <v>0</v>
      </c>
      <c r="L121" s="9">
        <v>0</v>
      </c>
      <c r="M121" s="9">
        <v>0</v>
      </c>
      <c r="N121" s="9">
        <v>0</v>
      </c>
      <c r="O121" s="9">
        <v>1</v>
      </c>
      <c r="P121" s="9">
        <v>1</v>
      </c>
      <c r="Q121" s="9">
        <v>1</v>
      </c>
      <c r="R121" s="9">
        <v>1</v>
      </c>
      <c r="S121" s="9">
        <v>1</v>
      </c>
      <c r="T121" s="9">
        <v>1</v>
      </c>
      <c r="U121" s="9">
        <v>1</v>
      </c>
      <c r="V121" s="9">
        <v>1</v>
      </c>
      <c r="W121" s="9">
        <v>1</v>
      </c>
      <c r="X121" s="9">
        <v>1</v>
      </c>
      <c r="Y121" s="9">
        <v>0</v>
      </c>
      <c r="Z121" s="9">
        <v>0</v>
      </c>
      <c r="AA121" s="9">
        <v>0</v>
      </c>
      <c r="AB121" s="9">
        <v>0</v>
      </c>
      <c r="AC121" s="9">
        <v>0</v>
      </c>
      <c r="AD121" s="9">
        <v>0</v>
      </c>
    </row>
    <row r="122" spans="1:30" ht="51" hidden="1" x14ac:dyDescent="0.2">
      <c r="A122" s="7">
        <v>1127</v>
      </c>
      <c r="B122" s="8" t="s">
        <v>370</v>
      </c>
      <c r="C122" s="8" t="s">
        <v>41</v>
      </c>
      <c r="D122" s="9">
        <v>0.12100000000000005</v>
      </c>
      <c r="E122" s="8" t="s">
        <v>545</v>
      </c>
      <c r="F122" s="8" t="str">
        <f t="shared" si="1"/>
        <v>WK1</v>
      </c>
      <c r="G122" s="9">
        <v>0</v>
      </c>
      <c r="H122" s="9">
        <v>0</v>
      </c>
      <c r="I122" s="9">
        <v>0</v>
      </c>
      <c r="J122" s="9">
        <v>0</v>
      </c>
      <c r="K122" s="9">
        <v>0</v>
      </c>
      <c r="L122" s="9">
        <v>0</v>
      </c>
      <c r="M122" s="9">
        <v>0</v>
      </c>
      <c r="N122" s="9">
        <v>0</v>
      </c>
      <c r="O122" s="9">
        <v>1</v>
      </c>
      <c r="P122" s="9">
        <v>1</v>
      </c>
      <c r="Q122" s="9">
        <v>1</v>
      </c>
      <c r="R122" s="9">
        <v>1</v>
      </c>
      <c r="S122" s="9">
        <v>1</v>
      </c>
      <c r="T122" s="9">
        <v>1</v>
      </c>
      <c r="U122" s="9">
        <v>1</v>
      </c>
      <c r="V122" s="9">
        <v>1</v>
      </c>
      <c r="W122" s="9">
        <v>1</v>
      </c>
      <c r="X122" s="9">
        <v>1</v>
      </c>
      <c r="Y122" s="9">
        <v>0</v>
      </c>
      <c r="Z122" s="9">
        <v>0</v>
      </c>
      <c r="AA122" s="9">
        <v>0</v>
      </c>
      <c r="AB122" s="9">
        <v>0</v>
      </c>
      <c r="AC122" s="9">
        <v>0</v>
      </c>
      <c r="AD122" s="9">
        <v>0</v>
      </c>
    </row>
    <row r="123" spans="1:30" ht="51" hidden="1" x14ac:dyDescent="0.2">
      <c r="A123" s="7">
        <v>1128</v>
      </c>
      <c r="B123" s="8" t="s">
        <v>286</v>
      </c>
      <c r="C123" s="8" t="s">
        <v>41</v>
      </c>
      <c r="D123" s="9">
        <v>0.1201851851811111</v>
      </c>
      <c r="E123" s="8" t="s">
        <v>42</v>
      </c>
      <c r="F123" s="8" t="str">
        <f t="shared" si="1"/>
        <v>WK1</v>
      </c>
      <c r="G123" s="9">
        <v>0</v>
      </c>
      <c r="H123" s="9">
        <v>0</v>
      </c>
      <c r="I123" s="9">
        <v>0</v>
      </c>
      <c r="J123" s="9">
        <v>0</v>
      </c>
      <c r="K123" s="9">
        <v>0</v>
      </c>
      <c r="L123" s="9">
        <v>0</v>
      </c>
      <c r="M123" s="9">
        <v>0</v>
      </c>
      <c r="N123" s="9">
        <v>0.25</v>
      </c>
      <c r="O123" s="9">
        <v>0.5</v>
      </c>
      <c r="P123" s="9">
        <v>1</v>
      </c>
      <c r="Q123" s="9">
        <v>1</v>
      </c>
      <c r="R123" s="9">
        <v>1</v>
      </c>
      <c r="S123" s="9">
        <v>0.75</v>
      </c>
      <c r="T123" s="9">
        <v>0.75</v>
      </c>
      <c r="U123" s="9">
        <v>1</v>
      </c>
      <c r="V123" s="9">
        <v>1</v>
      </c>
      <c r="W123" s="9">
        <v>1</v>
      </c>
      <c r="X123" s="9">
        <v>0.5</v>
      </c>
      <c r="Y123" s="9">
        <v>0.25</v>
      </c>
      <c r="Z123" s="9">
        <v>0</v>
      </c>
      <c r="AA123" s="9">
        <v>0</v>
      </c>
      <c r="AB123" s="9">
        <v>0</v>
      </c>
      <c r="AC123" s="9">
        <v>0</v>
      </c>
      <c r="AD123" s="9">
        <v>0</v>
      </c>
    </row>
    <row r="124" spans="1:30" ht="51" hidden="1" x14ac:dyDescent="0.2">
      <c r="A124" s="7">
        <v>1129</v>
      </c>
      <c r="B124" s="8" t="s">
        <v>127</v>
      </c>
      <c r="C124" s="8" t="s">
        <v>41</v>
      </c>
      <c r="D124" s="9">
        <v>0.13</v>
      </c>
      <c r="E124" s="8" t="s">
        <v>43</v>
      </c>
      <c r="F124" s="8" t="str">
        <f t="shared" si="1"/>
        <v>WK1</v>
      </c>
      <c r="G124" s="9">
        <v>0</v>
      </c>
      <c r="H124" s="9">
        <v>0</v>
      </c>
      <c r="I124" s="9">
        <v>0</v>
      </c>
      <c r="J124" s="9">
        <v>0</v>
      </c>
      <c r="K124" s="9">
        <v>0</v>
      </c>
      <c r="L124" s="9">
        <v>0</v>
      </c>
      <c r="M124" s="9">
        <v>0</v>
      </c>
      <c r="N124" s="9">
        <v>1</v>
      </c>
      <c r="O124" s="9">
        <v>1</v>
      </c>
      <c r="P124" s="9">
        <v>1</v>
      </c>
      <c r="Q124" s="9">
        <v>1</v>
      </c>
      <c r="R124" s="9">
        <v>1</v>
      </c>
      <c r="S124" s="9">
        <v>1</v>
      </c>
      <c r="T124" s="9">
        <v>1</v>
      </c>
      <c r="U124" s="9">
        <v>1</v>
      </c>
      <c r="V124" s="9">
        <v>1</v>
      </c>
      <c r="W124" s="9">
        <v>1</v>
      </c>
      <c r="X124" s="9">
        <v>1</v>
      </c>
      <c r="Y124" s="9">
        <v>1</v>
      </c>
      <c r="Z124" s="9">
        <v>1</v>
      </c>
      <c r="AA124" s="9">
        <v>0</v>
      </c>
      <c r="AB124" s="9">
        <v>0</v>
      </c>
      <c r="AC124" s="9">
        <v>0</v>
      </c>
      <c r="AD124" s="9">
        <v>0</v>
      </c>
    </row>
    <row r="125" spans="1:30" ht="51" hidden="1" x14ac:dyDescent="0.2">
      <c r="A125" s="7">
        <v>1130</v>
      </c>
      <c r="B125" s="8" t="s">
        <v>273</v>
      </c>
      <c r="C125" s="8" t="s">
        <v>41</v>
      </c>
      <c r="D125" s="9">
        <v>0.21533898305084739</v>
      </c>
      <c r="E125" s="8" t="s">
        <v>44</v>
      </c>
      <c r="F125" s="8" t="str">
        <f t="shared" si="1"/>
        <v>WK1</v>
      </c>
      <c r="G125" s="9">
        <v>0</v>
      </c>
      <c r="H125" s="9">
        <v>0</v>
      </c>
      <c r="I125" s="9">
        <v>0</v>
      </c>
      <c r="J125" s="9">
        <v>0</v>
      </c>
      <c r="K125" s="9">
        <v>0</v>
      </c>
      <c r="L125" s="9">
        <v>0</v>
      </c>
      <c r="M125" s="9">
        <v>0</v>
      </c>
      <c r="N125" s="9">
        <v>0</v>
      </c>
      <c r="O125" s="9">
        <v>0</v>
      </c>
      <c r="P125" s="9">
        <v>0</v>
      </c>
      <c r="Q125" s="9">
        <v>0</v>
      </c>
      <c r="R125" s="9">
        <v>0.25</v>
      </c>
      <c r="S125" s="9">
        <v>1</v>
      </c>
      <c r="T125" s="9">
        <v>1</v>
      </c>
      <c r="U125" s="9">
        <v>0.75</v>
      </c>
      <c r="V125" s="9">
        <v>0</v>
      </c>
      <c r="W125" s="9">
        <v>0</v>
      </c>
      <c r="X125" s="9">
        <v>0</v>
      </c>
      <c r="Y125" s="9">
        <v>0</v>
      </c>
      <c r="Z125" s="9">
        <v>0</v>
      </c>
      <c r="AA125" s="9">
        <v>0</v>
      </c>
      <c r="AB125" s="9">
        <v>0</v>
      </c>
      <c r="AC125" s="9">
        <v>0</v>
      </c>
      <c r="AD125" s="9">
        <v>0</v>
      </c>
    </row>
    <row r="126" spans="1:30" ht="51" hidden="1" x14ac:dyDescent="0.2">
      <c r="A126" s="7">
        <v>1131</v>
      </c>
      <c r="B126" s="8" t="s">
        <v>367</v>
      </c>
      <c r="C126" s="8" t="s">
        <v>41</v>
      </c>
      <c r="D126" s="9">
        <v>0.05</v>
      </c>
      <c r="E126" s="8" t="s">
        <v>45</v>
      </c>
      <c r="F126" s="8" t="str">
        <f t="shared" si="1"/>
        <v>WK1</v>
      </c>
      <c r="G126" s="9">
        <v>0</v>
      </c>
      <c r="H126" s="9">
        <v>0</v>
      </c>
      <c r="I126" s="9">
        <v>0</v>
      </c>
      <c r="J126" s="9">
        <v>0</v>
      </c>
      <c r="K126" s="9">
        <v>0</v>
      </c>
      <c r="L126" s="9">
        <v>0</v>
      </c>
      <c r="M126" s="9">
        <v>0</v>
      </c>
      <c r="N126" s="9">
        <v>0</v>
      </c>
      <c r="O126" s="9">
        <v>0</v>
      </c>
      <c r="P126" s="9">
        <v>1</v>
      </c>
      <c r="Q126" s="9">
        <v>1</v>
      </c>
      <c r="R126" s="9">
        <v>1</v>
      </c>
      <c r="S126" s="9">
        <v>1</v>
      </c>
      <c r="T126" s="9">
        <v>1</v>
      </c>
      <c r="U126" s="9">
        <v>1</v>
      </c>
      <c r="V126" s="9">
        <v>1</v>
      </c>
      <c r="W126" s="9">
        <v>1</v>
      </c>
      <c r="X126" s="9">
        <v>1</v>
      </c>
      <c r="Y126" s="9">
        <v>1</v>
      </c>
      <c r="Z126" s="9">
        <v>1</v>
      </c>
      <c r="AA126" s="9">
        <v>1</v>
      </c>
      <c r="AB126" s="9">
        <v>0</v>
      </c>
      <c r="AC126" s="9">
        <v>0</v>
      </c>
      <c r="AD126" s="9">
        <v>0</v>
      </c>
    </row>
    <row r="127" spans="1:30" ht="51" x14ac:dyDescent="0.2">
      <c r="A127" s="7">
        <v>1132</v>
      </c>
      <c r="B127" s="8" t="s">
        <v>104</v>
      </c>
      <c r="C127" s="8" t="s">
        <v>41</v>
      </c>
      <c r="D127" s="9">
        <v>0.41288135586101687</v>
      </c>
      <c r="E127" s="8" t="s">
        <v>46</v>
      </c>
      <c r="F127" s="8" t="str">
        <f t="shared" si="1"/>
        <v>WK1</v>
      </c>
      <c r="G127" s="9">
        <v>0</v>
      </c>
      <c r="H127" s="9">
        <v>0</v>
      </c>
      <c r="I127" s="9">
        <v>0</v>
      </c>
      <c r="J127" s="9">
        <v>0</v>
      </c>
      <c r="K127" s="9">
        <v>0</v>
      </c>
      <c r="L127" s="9">
        <v>0</v>
      </c>
      <c r="M127" s="9">
        <v>0</v>
      </c>
      <c r="N127" s="9">
        <v>0</v>
      </c>
      <c r="O127" s="9">
        <v>0</v>
      </c>
      <c r="P127" s="9">
        <v>0</v>
      </c>
      <c r="Q127" s="9">
        <v>0</v>
      </c>
      <c r="R127" s="9">
        <v>0.25</v>
      </c>
      <c r="S127" s="9">
        <v>1</v>
      </c>
      <c r="T127" s="9">
        <v>1</v>
      </c>
      <c r="U127" s="9">
        <v>0.75</v>
      </c>
      <c r="V127" s="9">
        <v>0</v>
      </c>
      <c r="W127" s="9">
        <v>0</v>
      </c>
      <c r="X127" s="9">
        <v>0</v>
      </c>
      <c r="Y127" s="9">
        <v>0</v>
      </c>
      <c r="Z127" s="9">
        <v>0</v>
      </c>
      <c r="AA127" s="9">
        <v>0</v>
      </c>
      <c r="AB127" s="9">
        <v>0</v>
      </c>
      <c r="AC127" s="9">
        <v>0</v>
      </c>
      <c r="AD127" s="9">
        <v>0</v>
      </c>
    </row>
    <row r="128" spans="1:30" ht="51" hidden="1" x14ac:dyDescent="0.2">
      <c r="A128" s="7">
        <v>1133</v>
      </c>
      <c r="B128" s="8" t="s">
        <v>423</v>
      </c>
      <c r="C128" s="8" t="s">
        <v>41</v>
      </c>
      <c r="D128" s="9">
        <v>0.11</v>
      </c>
      <c r="E128" s="8" t="s">
        <v>546</v>
      </c>
      <c r="F128" s="8" t="str">
        <f t="shared" si="1"/>
        <v>WK1</v>
      </c>
      <c r="G128" s="9">
        <v>0</v>
      </c>
      <c r="H128" s="9">
        <v>0</v>
      </c>
      <c r="I128" s="9">
        <v>0</v>
      </c>
      <c r="J128" s="9">
        <v>0</v>
      </c>
      <c r="K128" s="9">
        <v>0</v>
      </c>
      <c r="L128" s="9">
        <v>0</v>
      </c>
      <c r="M128" s="9">
        <v>0</v>
      </c>
      <c r="N128" s="9">
        <v>0</v>
      </c>
      <c r="O128" s="9">
        <v>0</v>
      </c>
      <c r="P128" s="9">
        <v>0</v>
      </c>
      <c r="Q128" s="9">
        <v>0</v>
      </c>
      <c r="R128" s="9">
        <v>0</v>
      </c>
      <c r="S128" s="9">
        <v>0</v>
      </c>
      <c r="T128" s="9">
        <v>0</v>
      </c>
      <c r="U128" s="9">
        <v>0</v>
      </c>
      <c r="V128" s="9">
        <v>0</v>
      </c>
      <c r="W128" s="9">
        <v>0</v>
      </c>
      <c r="X128" s="9">
        <v>0</v>
      </c>
      <c r="Y128" s="9">
        <v>0</v>
      </c>
      <c r="Z128" s="9">
        <v>0</v>
      </c>
      <c r="AA128" s="9">
        <v>0</v>
      </c>
      <c r="AB128" s="9">
        <v>0</v>
      </c>
      <c r="AC128" s="9">
        <v>0</v>
      </c>
      <c r="AD128" s="9">
        <v>0</v>
      </c>
    </row>
    <row r="129" spans="1:30" ht="38.25" hidden="1" x14ac:dyDescent="0.2">
      <c r="A129" s="7">
        <v>1134</v>
      </c>
      <c r="B129" s="8" t="s">
        <v>274</v>
      </c>
      <c r="C129" s="8" t="s">
        <v>41</v>
      </c>
      <c r="D129" s="9">
        <v>0.22285714285714284</v>
      </c>
      <c r="E129" s="8" t="s">
        <v>47</v>
      </c>
      <c r="F129" s="8" t="str">
        <f t="shared" si="1"/>
        <v>WK1</v>
      </c>
      <c r="G129" s="9">
        <v>1</v>
      </c>
      <c r="H129" s="9">
        <v>1</v>
      </c>
      <c r="I129" s="9">
        <v>1</v>
      </c>
      <c r="J129" s="9">
        <v>1</v>
      </c>
      <c r="K129" s="9">
        <v>1</v>
      </c>
      <c r="L129" s="9">
        <v>1</v>
      </c>
      <c r="M129" s="9">
        <v>1</v>
      </c>
      <c r="N129" s="9">
        <v>0.5</v>
      </c>
      <c r="O129" s="9">
        <v>0.25</v>
      </c>
      <c r="P129" s="9">
        <v>0</v>
      </c>
      <c r="Q129" s="9">
        <v>0</v>
      </c>
      <c r="R129" s="9">
        <v>0</v>
      </c>
      <c r="S129" s="9">
        <v>0</v>
      </c>
      <c r="T129" s="9">
        <v>0</v>
      </c>
      <c r="U129" s="9">
        <v>0</v>
      </c>
      <c r="V129" s="9">
        <v>0</v>
      </c>
      <c r="W129" s="9">
        <v>0</v>
      </c>
      <c r="X129" s="9">
        <v>0</v>
      </c>
      <c r="Y129" s="9">
        <v>0</v>
      </c>
      <c r="Z129" s="9">
        <v>0</v>
      </c>
      <c r="AA129" s="9">
        <v>0</v>
      </c>
      <c r="AB129" s="9">
        <v>0</v>
      </c>
      <c r="AC129" s="9">
        <v>0.25</v>
      </c>
      <c r="AD129" s="9">
        <v>0.75</v>
      </c>
    </row>
    <row r="130" spans="1:30" ht="38.25" hidden="1" x14ac:dyDescent="0.2">
      <c r="A130" s="7">
        <v>1135</v>
      </c>
      <c r="B130" s="8" t="s">
        <v>80</v>
      </c>
      <c r="C130" s="8" t="s">
        <v>41</v>
      </c>
      <c r="D130" s="9">
        <v>9.1428571428571428E-2</v>
      </c>
      <c r="E130" s="8" t="s">
        <v>48</v>
      </c>
      <c r="F130" s="8" t="str">
        <f t="shared" si="1"/>
        <v>WK1</v>
      </c>
      <c r="G130" s="9">
        <v>1</v>
      </c>
      <c r="H130" s="9">
        <v>1</v>
      </c>
      <c r="I130" s="9">
        <v>1</v>
      </c>
      <c r="J130" s="9">
        <v>1</v>
      </c>
      <c r="K130" s="9">
        <v>1</v>
      </c>
      <c r="L130" s="9">
        <v>1</v>
      </c>
      <c r="M130" s="9">
        <v>1</v>
      </c>
      <c r="N130" s="9">
        <v>0.5</v>
      </c>
      <c r="O130" s="9">
        <v>0.25</v>
      </c>
      <c r="P130" s="9">
        <v>0</v>
      </c>
      <c r="Q130" s="9">
        <v>0</v>
      </c>
      <c r="R130" s="9">
        <v>0</v>
      </c>
      <c r="S130" s="9">
        <v>0</v>
      </c>
      <c r="T130" s="9">
        <v>0</v>
      </c>
      <c r="U130" s="9">
        <v>0</v>
      </c>
      <c r="V130" s="9">
        <v>0</v>
      </c>
      <c r="W130" s="9">
        <v>0</v>
      </c>
      <c r="X130" s="9">
        <v>0</v>
      </c>
      <c r="Y130" s="9">
        <v>0</v>
      </c>
      <c r="Z130" s="9">
        <v>0</v>
      </c>
      <c r="AA130" s="9">
        <v>0</v>
      </c>
      <c r="AB130" s="9">
        <v>0</v>
      </c>
      <c r="AC130" s="9">
        <v>0.25</v>
      </c>
      <c r="AD130" s="9">
        <v>0.75</v>
      </c>
    </row>
    <row r="131" spans="1:30" ht="51" hidden="1" x14ac:dyDescent="0.2">
      <c r="A131" s="7">
        <v>1136</v>
      </c>
      <c r="B131" s="8" t="s">
        <v>459</v>
      </c>
      <c r="C131" s="8" t="s">
        <v>41</v>
      </c>
      <c r="D131" s="9">
        <v>0.16603773584905662</v>
      </c>
      <c r="E131" s="8" t="s">
        <v>547</v>
      </c>
      <c r="F131" s="8" t="str">
        <f t="shared" si="1"/>
        <v>WK1</v>
      </c>
      <c r="G131" s="9">
        <v>0</v>
      </c>
      <c r="H131" s="9">
        <v>0</v>
      </c>
      <c r="I131" s="9">
        <v>0</v>
      </c>
      <c r="J131" s="9">
        <v>0</v>
      </c>
      <c r="K131" s="9">
        <v>0</v>
      </c>
      <c r="L131" s="9">
        <v>0</v>
      </c>
      <c r="M131" s="9">
        <v>0.25</v>
      </c>
      <c r="N131" s="9">
        <v>1</v>
      </c>
      <c r="O131" s="9">
        <v>1</v>
      </c>
      <c r="P131" s="9">
        <v>0.25</v>
      </c>
      <c r="Q131" s="9">
        <v>0</v>
      </c>
      <c r="R131" s="9">
        <v>0</v>
      </c>
      <c r="S131" s="9">
        <v>0</v>
      </c>
      <c r="T131" s="9">
        <v>0</v>
      </c>
      <c r="U131" s="9">
        <v>0</v>
      </c>
      <c r="V131" s="9">
        <v>0</v>
      </c>
      <c r="W131" s="9">
        <v>0</v>
      </c>
      <c r="X131" s="9">
        <v>0</v>
      </c>
      <c r="Y131" s="9">
        <v>0.5</v>
      </c>
      <c r="Z131" s="9">
        <v>1</v>
      </c>
      <c r="AA131" s="9">
        <v>1</v>
      </c>
      <c r="AB131" s="9">
        <v>0.3</v>
      </c>
      <c r="AC131" s="9">
        <v>0</v>
      </c>
      <c r="AD131" s="9">
        <v>0</v>
      </c>
    </row>
    <row r="132" spans="1:30" ht="51" hidden="1" x14ac:dyDescent="0.2">
      <c r="A132" s="7">
        <v>1137</v>
      </c>
      <c r="B132" s="8" t="s">
        <v>85</v>
      </c>
      <c r="C132" s="8" t="s">
        <v>41</v>
      </c>
      <c r="D132" s="9">
        <v>0.17</v>
      </c>
      <c r="E132" s="8" t="s">
        <v>45</v>
      </c>
      <c r="F132" s="8" t="str">
        <f t="shared" si="1"/>
        <v>WK1</v>
      </c>
      <c r="G132" s="9">
        <v>0</v>
      </c>
      <c r="H132" s="9">
        <v>0</v>
      </c>
      <c r="I132" s="9">
        <v>0</v>
      </c>
      <c r="J132" s="9">
        <v>0</v>
      </c>
      <c r="K132" s="9">
        <v>0</v>
      </c>
      <c r="L132" s="9">
        <v>0</v>
      </c>
      <c r="M132" s="9">
        <v>0</v>
      </c>
      <c r="N132" s="9">
        <v>0</v>
      </c>
      <c r="O132" s="9">
        <v>0</v>
      </c>
      <c r="P132" s="9">
        <v>1</v>
      </c>
      <c r="Q132" s="9">
        <v>1</v>
      </c>
      <c r="R132" s="9">
        <v>1</v>
      </c>
      <c r="S132" s="9">
        <v>1</v>
      </c>
      <c r="T132" s="9">
        <v>1</v>
      </c>
      <c r="U132" s="9">
        <v>1</v>
      </c>
      <c r="V132" s="9">
        <v>1</v>
      </c>
      <c r="W132" s="9">
        <v>1</v>
      </c>
      <c r="X132" s="9">
        <v>1</v>
      </c>
      <c r="Y132" s="9">
        <v>1</v>
      </c>
      <c r="Z132" s="9">
        <v>1</v>
      </c>
      <c r="AA132" s="9">
        <v>1</v>
      </c>
      <c r="AB132" s="9">
        <v>0</v>
      </c>
      <c r="AC132" s="9">
        <v>0</v>
      </c>
      <c r="AD132" s="9">
        <v>0</v>
      </c>
    </row>
    <row r="133" spans="1:30" ht="51" hidden="1" x14ac:dyDescent="0.2">
      <c r="A133" s="7">
        <v>1138</v>
      </c>
      <c r="B133" s="8" t="s">
        <v>425</v>
      </c>
      <c r="C133" s="8" t="s">
        <v>41</v>
      </c>
      <c r="D133" s="9">
        <v>0.12765000000000001</v>
      </c>
      <c r="E133" s="8" t="s">
        <v>49</v>
      </c>
      <c r="F133" s="8" t="str">
        <f t="shared" si="1"/>
        <v>WK1</v>
      </c>
      <c r="G133" s="9">
        <v>0</v>
      </c>
      <c r="H133" s="9">
        <v>0</v>
      </c>
      <c r="I133" s="9">
        <v>0</v>
      </c>
      <c r="J133" s="9">
        <v>0</v>
      </c>
      <c r="K133" s="9">
        <v>0</v>
      </c>
      <c r="L133" s="9">
        <v>0</v>
      </c>
      <c r="M133" s="9">
        <v>0</v>
      </c>
      <c r="N133" s="9">
        <v>0.25</v>
      </c>
      <c r="O133" s="9">
        <v>0.5</v>
      </c>
      <c r="P133" s="9">
        <v>1</v>
      </c>
      <c r="Q133" s="9">
        <v>1</v>
      </c>
      <c r="R133" s="9">
        <v>1</v>
      </c>
      <c r="S133" s="9">
        <v>0.75</v>
      </c>
      <c r="T133" s="9">
        <v>0.75</v>
      </c>
      <c r="U133" s="9">
        <v>1</v>
      </c>
      <c r="V133" s="9">
        <v>1</v>
      </c>
      <c r="W133" s="9">
        <v>1</v>
      </c>
      <c r="X133" s="9">
        <v>0.5</v>
      </c>
      <c r="Y133" s="9">
        <v>0.25</v>
      </c>
      <c r="Z133" s="9">
        <v>0</v>
      </c>
      <c r="AA133" s="9">
        <v>0</v>
      </c>
      <c r="AB133" s="9">
        <v>0</v>
      </c>
      <c r="AC133" s="9">
        <v>0</v>
      </c>
      <c r="AD133" s="9">
        <v>0</v>
      </c>
    </row>
    <row r="134" spans="1:30" ht="51" hidden="1" x14ac:dyDescent="0.2">
      <c r="A134" s="7">
        <v>1139</v>
      </c>
      <c r="B134" s="8" t="s">
        <v>420</v>
      </c>
      <c r="C134" s="8" t="s">
        <v>50</v>
      </c>
      <c r="D134" s="9">
        <v>0.10679611650485436</v>
      </c>
      <c r="E134" s="8" t="s">
        <v>548</v>
      </c>
      <c r="F134" s="8" t="str">
        <f t="shared" si="1"/>
        <v>WK1</v>
      </c>
      <c r="G134" s="9">
        <v>0</v>
      </c>
      <c r="H134" s="9">
        <v>0</v>
      </c>
      <c r="I134" s="9">
        <v>0</v>
      </c>
      <c r="J134" s="9">
        <v>0</v>
      </c>
      <c r="K134" s="9">
        <v>0</v>
      </c>
      <c r="L134" s="9">
        <v>0</v>
      </c>
      <c r="M134" s="9">
        <v>0</v>
      </c>
      <c r="N134" s="9">
        <v>0.1</v>
      </c>
      <c r="O134" s="9">
        <v>0.25</v>
      </c>
      <c r="P134" s="9">
        <v>0.75</v>
      </c>
      <c r="Q134" s="9">
        <v>1</v>
      </c>
      <c r="R134" s="9">
        <v>1</v>
      </c>
      <c r="S134" s="9">
        <v>0.5</v>
      </c>
      <c r="T134" s="9">
        <v>0.5</v>
      </c>
      <c r="U134" s="9">
        <v>1</v>
      </c>
      <c r="V134" s="9">
        <v>1</v>
      </c>
      <c r="W134" s="9">
        <v>0.5</v>
      </c>
      <c r="X134" s="9">
        <v>0.5</v>
      </c>
      <c r="Y134" s="9">
        <v>0</v>
      </c>
      <c r="Z134" s="9">
        <v>0</v>
      </c>
      <c r="AA134" s="9">
        <v>0</v>
      </c>
      <c r="AB134" s="9">
        <v>0</v>
      </c>
      <c r="AC134" s="9">
        <v>0</v>
      </c>
      <c r="AD134" s="9">
        <v>0</v>
      </c>
    </row>
    <row r="135" spans="1:30" ht="38.25" hidden="1" x14ac:dyDescent="0.2">
      <c r="A135" s="7">
        <v>1140</v>
      </c>
      <c r="B135" s="8" t="s">
        <v>370</v>
      </c>
      <c r="C135" s="8" t="s">
        <v>50</v>
      </c>
      <c r="D135" s="9">
        <v>0.20058823529411765</v>
      </c>
      <c r="E135" s="8" t="s">
        <v>549</v>
      </c>
      <c r="F135" s="8" t="str">
        <f t="shared" si="1"/>
        <v>WK1</v>
      </c>
      <c r="G135" s="9">
        <v>0</v>
      </c>
      <c r="H135" s="9">
        <v>0</v>
      </c>
      <c r="I135" s="9">
        <v>0</v>
      </c>
      <c r="J135" s="9">
        <v>0</v>
      </c>
      <c r="K135" s="9">
        <v>0</v>
      </c>
      <c r="L135" s="9">
        <v>0</v>
      </c>
      <c r="M135" s="9">
        <v>0</v>
      </c>
      <c r="N135" s="9">
        <v>0</v>
      </c>
      <c r="O135" s="9">
        <v>0</v>
      </c>
      <c r="P135" s="9">
        <v>0</v>
      </c>
      <c r="Q135" s="9">
        <v>0</v>
      </c>
      <c r="R135" s="9">
        <v>0.25</v>
      </c>
      <c r="S135" s="9">
        <v>1</v>
      </c>
      <c r="T135" s="9">
        <v>1</v>
      </c>
      <c r="U135" s="9">
        <v>0.75</v>
      </c>
      <c r="V135" s="9">
        <v>0</v>
      </c>
      <c r="W135" s="9">
        <v>0</v>
      </c>
      <c r="X135" s="9">
        <v>0</v>
      </c>
      <c r="Y135" s="9">
        <v>0</v>
      </c>
      <c r="Z135" s="9">
        <v>0</v>
      </c>
      <c r="AA135" s="9">
        <v>0</v>
      </c>
      <c r="AB135" s="9">
        <v>0</v>
      </c>
      <c r="AC135" s="9">
        <v>0</v>
      </c>
      <c r="AD135" s="9">
        <v>0</v>
      </c>
    </row>
    <row r="136" spans="1:30" ht="51" hidden="1" x14ac:dyDescent="0.2">
      <c r="A136" s="7">
        <v>1141</v>
      </c>
      <c r="B136" s="8" t="s">
        <v>286</v>
      </c>
      <c r="C136" s="8" t="s">
        <v>50</v>
      </c>
      <c r="D136" s="9">
        <v>0.12375</v>
      </c>
      <c r="E136" s="8" t="s">
        <v>51</v>
      </c>
      <c r="F136" s="8" t="str">
        <f t="shared" si="1"/>
        <v>WK1</v>
      </c>
      <c r="G136" s="9">
        <v>0</v>
      </c>
      <c r="H136" s="9">
        <v>0</v>
      </c>
      <c r="I136" s="9">
        <v>0</v>
      </c>
      <c r="J136" s="9">
        <v>0</v>
      </c>
      <c r="K136" s="9">
        <v>0</v>
      </c>
      <c r="L136" s="9">
        <v>0</v>
      </c>
      <c r="M136" s="9">
        <v>0</v>
      </c>
      <c r="N136" s="9">
        <v>0</v>
      </c>
      <c r="O136" s="9">
        <v>0</v>
      </c>
      <c r="P136" s="9">
        <v>1</v>
      </c>
      <c r="Q136" s="9">
        <v>1</v>
      </c>
      <c r="R136" s="9">
        <v>1</v>
      </c>
      <c r="S136" s="9">
        <v>1</v>
      </c>
      <c r="T136" s="9">
        <v>1</v>
      </c>
      <c r="U136" s="9">
        <v>1</v>
      </c>
      <c r="V136" s="9">
        <v>1</v>
      </c>
      <c r="W136" s="9">
        <v>1</v>
      </c>
      <c r="X136" s="9">
        <v>0</v>
      </c>
      <c r="Y136" s="9">
        <v>0</v>
      </c>
      <c r="Z136" s="9">
        <v>0</v>
      </c>
      <c r="AA136" s="9">
        <v>0</v>
      </c>
      <c r="AB136" s="9">
        <v>0</v>
      </c>
      <c r="AC136" s="9">
        <v>0</v>
      </c>
      <c r="AD136" s="9">
        <v>0</v>
      </c>
    </row>
    <row r="137" spans="1:30" ht="38.25" hidden="1" x14ac:dyDescent="0.2">
      <c r="A137" s="7">
        <v>1142</v>
      </c>
      <c r="B137" s="8" t="s">
        <v>423</v>
      </c>
      <c r="C137" s="8" t="s">
        <v>50</v>
      </c>
      <c r="D137" s="9">
        <v>0.11</v>
      </c>
      <c r="E137" s="8" t="s">
        <v>550</v>
      </c>
      <c r="F137" s="8" t="str">
        <f t="shared" si="1"/>
        <v>WK1</v>
      </c>
      <c r="G137" s="9">
        <v>0</v>
      </c>
      <c r="H137" s="9">
        <v>0</v>
      </c>
      <c r="I137" s="9">
        <v>0</v>
      </c>
      <c r="J137" s="9">
        <v>0</v>
      </c>
      <c r="K137" s="9">
        <v>0</v>
      </c>
      <c r="L137" s="9">
        <v>0</v>
      </c>
      <c r="M137" s="9">
        <v>0</v>
      </c>
      <c r="N137" s="9">
        <v>0</v>
      </c>
      <c r="O137" s="9">
        <v>0</v>
      </c>
      <c r="P137" s="9">
        <v>0</v>
      </c>
      <c r="Q137" s="9">
        <v>0</v>
      </c>
      <c r="R137" s="9">
        <v>0</v>
      </c>
      <c r="S137" s="9">
        <v>0</v>
      </c>
      <c r="T137" s="9">
        <v>0</v>
      </c>
      <c r="U137" s="9">
        <v>0</v>
      </c>
      <c r="V137" s="9">
        <v>0</v>
      </c>
      <c r="W137" s="9">
        <v>0</v>
      </c>
      <c r="X137" s="9">
        <v>0</v>
      </c>
      <c r="Y137" s="9">
        <v>0</v>
      </c>
      <c r="Z137" s="9">
        <v>0</v>
      </c>
      <c r="AA137" s="9">
        <v>0</v>
      </c>
      <c r="AB137" s="9">
        <v>0</v>
      </c>
      <c r="AC137" s="9">
        <v>0</v>
      </c>
      <c r="AD137" s="9">
        <v>0</v>
      </c>
    </row>
    <row r="138" spans="1:30" ht="38.25" hidden="1" x14ac:dyDescent="0.2">
      <c r="A138" s="7">
        <v>1143</v>
      </c>
      <c r="B138" s="8" t="s">
        <v>418</v>
      </c>
      <c r="C138" s="8" t="s">
        <v>50</v>
      </c>
      <c r="D138" s="9">
        <v>9.3333333333333338E-2</v>
      </c>
      <c r="E138" s="8" t="s">
        <v>551</v>
      </c>
      <c r="F138" s="8" t="str">
        <f t="shared" ref="F138:F201" si="2">RIGHT(E138,3)</f>
        <v>WK1</v>
      </c>
      <c r="G138" s="9">
        <v>0</v>
      </c>
      <c r="H138" s="9">
        <v>0</v>
      </c>
      <c r="I138" s="9">
        <v>0</v>
      </c>
      <c r="J138" s="9">
        <v>0</v>
      </c>
      <c r="K138" s="9">
        <v>0</v>
      </c>
      <c r="L138" s="9">
        <v>0</v>
      </c>
      <c r="M138" s="9">
        <v>0</v>
      </c>
      <c r="N138" s="9">
        <v>0</v>
      </c>
      <c r="O138" s="9">
        <v>1</v>
      </c>
      <c r="P138" s="9">
        <v>1</v>
      </c>
      <c r="Q138" s="9">
        <v>1</v>
      </c>
      <c r="R138" s="9">
        <v>1</v>
      </c>
      <c r="S138" s="9">
        <v>1</v>
      </c>
      <c r="T138" s="9">
        <v>1</v>
      </c>
      <c r="U138" s="9">
        <v>1</v>
      </c>
      <c r="V138" s="9">
        <v>1</v>
      </c>
      <c r="W138" s="9">
        <v>1</v>
      </c>
      <c r="X138" s="9">
        <v>1</v>
      </c>
      <c r="Y138" s="9">
        <v>0</v>
      </c>
      <c r="Z138" s="9">
        <v>0</v>
      </c>
      <c r="AA138" s="9">
        <v>0</v>
      </c>
      <c r="AB138" s="9">
        <v>0</v>
      </c>
      <c r="AC138" s="9">
        <v>0</v>
      </c>
      <c r="AD138" s="9">
        <v>0</v>
      </c>
    </row>
    <row r="139" spans="1:30" ht="51" hidden="1" x14ac:dyDescent="0.2">
      <c r="A139" s="7">
        <v>1144</v>
      </c>
      <c r="B139" s="8" t="s">
        <v>425</v>
      </c>
      <c r="C139" s="8" t="s">
        <v>50</v>
      </c>
      <c r="D139" s="9">
        <v>9.9627049180327887E-2</v>
      </c>
      <c r="E139" s="8" t="s">
        <v>52</v>
      </c>
      <c r="F139" s="8" t="str">
        <f t="shared" si="2"/>
        <v>WK1</v>
      </c>
      <c r="G139" s="9">
        <v>0</v>
      </c>
      <c r="H139" s="9">
        <v>0</v>
      </c>
      <c r="I139" s="9">
        <v>0</v>
      </c>
      <c r="J139" s="9">
        <v>0</v>
      </c>
      <c r="K139" s="9">
        <v>0</v>
      </c>
      <c r="L139" s="9">
        <v>0</v>
      </c>
      <c r="M139" s="9">
        <v>0</v>
      </c>
      <c r="N139" s="9">
        <v>0.25</v>
      </c>
      <c r="O139" s="9">
        <v>0.5</v>
      </c>
      <c r="P139" s="9">
        <v>1</v>
      </c>
      <c r="Q139" s="9">
        <v>1</v>
      </c>
      <c r="R139" s="9">
        <v>1</v>
      </c>
      <c r="S139" s="9">
        <v>0.75</v>
      </c>
      <c r="T139" s="9">
        <v>0.75</v>
      </c>
      <c r="U139" s="9">
        <v>1</v>
      </c>
      <c r="V139" s="9">
        <v>1</v>
      </c>
      <c r="W139" s="9">
        <v>1</v>
      </c>
      <c r="X139" s="9">
        <v>0.5</v>
      </c>
      <c r="Y139" s="9">
        <v>0.25</v>
      </c>
      <c r="Z139" s="9">
        <v>0</v>
      </c>
      <c r="AA139" s="9">
        <v>0</v>
      </c>
      <c r="AB139" s="9">
        <v>0</v>
      </c>
      <c r="AC139" s="9">
        <v>0</v>
      </c>
      <c r="AD139" s="9">
        <v>0</v>
      </c>
    </row>
    <row r="140" spans="1:30" ht="51" hidden="1" x14ac:dyDescent="0.2">
      <c r="A140" s="7">
        <v>1145</v>
      </c>
      <c r="B140" s="8" t="s">
        <v>534</v>
      </c>
      <c r="C140" s="8" t="s">
        <v>53</v>
      </c>
      <c r="D140" s="9">
        <v>9.6250000000000002E-2</v>
      </c>
      <c r="E140" s="8" t="s">
        <v>54</v>
      </c>
      <c r="F140" s="8" t="str">
        <f t="shared" si="2"/>
        <v>Wk1</v>
      </c>
      <c r="G140" s="9">
        <v>0</v>
      </c>
      <c r="H140" s="9">
        <v>0</v>
      </c>
      <c r="I140" s="9">
        <v>0</v>
      </c>
      <c r="J140" s="9">
        <v>0</v>
      </c>
      <c r="K140" s="9">
        <v>0</v>
      </c>
      <c r="L140" s="9">
        <v>0</v>
      </c>
      <c r="M140" s="9">
        <v>0</v>
      </c>
      <c r="N140" s="9">
        <v>0</v>
      </c>
      <c r="O140" s="9">
        <v>0</v>
      </c>
      <c r="P140" s="9">
        <v>1</v>
      </c>
      <c r="Q140" s="9">
        <v>1</v>
      </c>
      <c r="R140" s="9">
        <v>1</v>
      </c>
      <c r="S140" s="9">
        <v>1</v>
      </c>
      <c r="T140" s="9">
        <v>1</v>
      </c>
      <c r="U140" s="9">
        <v>1</v>
      </c>
      <c r="V140" s="9">
        <v>1</v>
      </c>
      <c r="W140" s="9">
        <v>1</v>
      </c>
      <c r="X140" s="9">
        <v>0</v>
      </c>
      <c r="Y140" s="9">
        <v>0</v>
      </c>
      <c r="Z140" s="9">
        <v>0</v>
      </c>
      <c r="AA140" s="9">
        <v>0</v>
      </c>
      <c r="AB140" s="9">
        <v>0</v>
      </c>
      <c r="AC140" s="9">
        <v>0</v>
      </c>
      <c r="AD140" s="9">
        <v>0</v>
      </c>
    </row>
    <row r="141" spans="1:30" ht="51" hidden="1" x14ac:dyDescent="0.2">
      <c r="A141" s="7">
        <v>1146</v>
      </c>
      <c r="B141" s="8" t="s">
        <v>55</v>
      </c>
      <c r="C141" s="8" t="s">
        <v>53</v>
      </c>
      <c r="D141" s="9">
        <v>9.6250000000000002E-2</v>
      </c>
      <c r="E141" s="8" t="s">
        <v>56</v>
      </c>
      <c r="F141" s="8" t="str">
        <f t="shared" si="2"/>
        <v>Wk1</v>
      </c>
      <c r="G141" s="9">
        <v>0</v>
      </c>
      <c r="H141" s="9">
        <v>0</v>
      </c>
      <c r="I141" s="9">
        <v>0</v>
      </c>
      <c r="J141" s="9">
        <v>0</v>
      </c>
      <c r="K141" s="9">
        <v>0</v>
      </c>
      <c r="L141" s="9">
        <v>0</v>
      </c>
      <c r="M141" s="9">
        <v>0</v>
      </c>
      <c r="N141" s="9">
        <v>0</v>
      </c>
      <c r="O141" s="9">
        <v>0</v>
      </c>
      <c r="P141" s="9">
        <v>1</v>
      </c>
      <c r="Q141" s="9">
        <v>1</v>
      </c>
      <c r="R141" s="9">
        <v>1</v>
      </c>
      <c r="S141" s="9">
        <v>1</v>
      </c>
      <c r="T141" s="9">
        <v>1</v>
      </c>
      <c r="U141" s="9">
        <v>1</v>
      </c>
      <c r="V141" s="9">
        <v>1</v>
      </c>
      <c r="W141" s="9">
        <v>1</v>
      </c>
      <c r="X141" s="9">
        <v>0</v>
      </c>
      <c r="Y141" s="9">
        <v>0</v>
      </c>
      <c r="Z141" s="9">
        <v>0</v>
      </c>
      <c r="AA141" s="9">
        <v>0</v>
      </c>
      <c r="AB141" s="9">
        <v>0</v>
      </c>
      <c r="AC141" s="9">
        <v>0</v>
      </c>
      <c r="AD141" s="9">
        <v>0</v>
      </c>
    </row>
    <row r="142" spans="1:30" ht="51" hidden="1" x14ac:dyDescent="0.2">
      <c r="A142" s="7">
        <v>1147</v>
      </c>
      <c r="B142" s="8" t="s">
        <v>418</v>
      </c>
      <c r="C142" s="8" t="s">
        <v>57</v>
      </c>
      <c r="D142" s="9">
        <v>0.12375</v>
      </c>
      <c r="E142" s="8" t="s">
        <v>552</v>
      </c>
      <c r="F142" s="8" t="str">
        <f t="shared" si="2"/>
        <v>WK1</v>
      </c>
      <c r="G142" s="9">
        <v>0</v>
      </c>
      <c r="H142" s="9">
        <v>0</v>
      </c>
      <c r="I142" s="9">
        <v>0</v>
      </c>
      <c r="J142" s="9">
        <v>0</v>
      </c>
      <c r="K142" s="9">
        <v>0</v>
      </c>
      <c r="L142" s="9">
        <v>0</v>
      </c>
      <c r="M142" s="9">
        <v>0</v>
      </c>
      <c r="N142" s="9">
        <v>0</v>
      </c>
      <c r="O142" s="9">
        <v>0</v>
      </c>
      <c r="P142" s="9">
        <v>1</v>
      </c>
      <c r="Q142" s="9">
        <v>1</v>
      </c>
      <c r="R142" s="9">
        <v>1</v>
      </c>
      <c r="S142" s="9">
        <v>1</v>
      </c>
      <c r="T142" s="9">
        <v>1</v>
      </c>
      <c r="U142" s="9">
        <v>1</v>
      </c>
      <c r="V142" s="9">
        <v>1</v>
      </c>
      <c r="W142" s="9">
        <v>1</v>
      </c>
      <c r="X142" s="9">
        <v>0</v>
      </c>
      <c r="Y142" s="9">
        <v>0</v>
      </c>
      <c r="Z142" s="9">
        <v>0</v>
      </c>
      <c r="AA142" s="9">
        <v>0</v>
      </c>
      <c r="AB142" s="9">
        <v>0</v>
      </c>
      <c r="AC142" s="9">
        <v>0</v>
      </c>
      <c r="AD142" s="9">
        <v>0</v>
      </c>
    </row>
    <row r="143" spans="1:30" ht="51" hidden="1" x14ac:dyDescent="0.2">
      <c r="A143" s="7">
        <v>1148</v>
      </c>
      <c r="B143" s="8" t="s">
        <v>369</v>
      </c>
      <c r="C143" s="8" t="s">
        <v>57</v>
      </c>
      <c r="D143" s="9">
        <v>0.12375</v>
      </c>
      <c r="E143" s="8" t="s">
        <v>553</v>
      </c>
      <c r="F143" s="8" t="str">
        <f t="shared" si="2"/>
        <v>WK1</v>
      </c>
      <c r="G143" s="9">
        <v>0</v>
      </c>
      <c r="H143" s="9">
        <v>0</v>
      </c>
      <c r="I143" s="9">
        <v>0</v>
      </c>
      <c r="J143" s="9">
        <v>0</v>
      </c>
      <c r="K143" s="9">
        <v>0</v>
      </c>
      <c r="L143" s="9">
        <v>0</v>
      </c>
      <c r="M143" s="9">
        <v>0</v>
      </c>
      <c r="N143" s="9">
        <v>0</v>
      </c>
      <c r="O143" s="9">
        <v>0</v>
      </c>
      <c r="P143" s="9">
        <v>1</v>
      </c>
      <c r="Q143" s="9">
        <v>1</v>
      </c>
      <c r="R143" s="9">
        <v>1</v>
      </c>
      <c r="S143" s="9">
        <v>1</v>
      </c>
      <c r="T143" s="9">
        <v>1</v>
      </c>
      <c r="U143" s="9">
        <v>1</v>
      </c>
      <c r="V143" s="9">
        <v>1</v>
      </c>
      <c r="W143" s="9">
        <v>1</v>
      </c>
      <c r="X143" s="9">
        <v>0</v>
      </c>
      <c r="Y143" s="9">
        <v>0</v>
      </c>
      <c r="Z143" s="9">
        <v>0</v>
      </c>
      <c r="AA143" s="9">
        <v>0</v>
      </c>
      <c r="AB143" s="9">
        <v>0</v>
      </c>
      <c r="AC143" s="9">
        <v>0</v>
      </c>
      <c r="AD143" s="9">
        <v>0</v>
      </c>
    </row>
    <row r="144" spans="1:30" ht="51" hidden="1" x14ac:dyDescent="0.2">
      <c r="A144" s="7">
        <v>1149</v>
      </c>
      <c r="B144" s="8" t="s">
        <v>370</v>
      </c>
      <c r="C144" s="8" t="s">
        <v>57</v>
      </c>
      <c r="D144" s="9">
        <v>0.12375</v>
      </c>
      <c r="E144" s="8" t="s">
        <v>554</v>
      </c>
      <c r="F144" s="8" t="str">
        <f t="shared" si="2"/>
        <v>WK1</v>
      </c>
      <c r="G144" s="9">
        <v>0</v>
      </c>
      <c r="H144" s="9">
        <v>0</v>
      </c>
      <c r="I144" s="9">
        <v>0</v>
      </c>
      <c r="J144" s="9">
        <v>0</v>
      </c>
      <c r="K144" s="9">
        <v>0</v>
      </c>
      <c r="L144" s="9">
        <v>0</v>
      </c>
      <c r="M144" s="9">
        <v>0</v>
      </c>
      <c r="N144" s="9">
        <v>0</v>
      </c>
      <c r="O144" s="9">
        <v>0</v>
      </c>
      <c r="P144" s="9">
        <v>1</v>
      </c>
      <c r="Q144" s="9">
        <v>1</v>
      </c>
      <c r="R144" s="9">
        <v>1</v>
      </c>
      <c r="S144" s="9">
        <v>1</v>
      </c>
      <c r="T144" s="9">
        <v>1</v>
      </c>
      <c r="U144" s="9">
        <v>1</v>
      </c>
      <c r="V144" s="9">
        <v>1</v>
      </c>
      <c r="W144" s="9">
        <v>1</v>
      </c>
      <c r="X144" s="9">
        <v>0</v>
      </c>
      <c r="Y144" s="9">
        <v>0</v>
      </c>
      <c r="Z144" s="9">
        <v>0</v>
      </c>
      <c r="AA144" s="9">
        <v>0</v>
      </c>
      <c r="AB144" s="9">
        <v>0</v>
      </c>
      <c r="AC144" s="9">
        <v>0</v>
      </c>
      <c r="AD144" s="9">
        <v>0</v>
      </c>
    </row>
    <row r="145" spans="1:30" ht="51" hidden="1" x14ac:dyDescent="0.2">
      <c r="A145" s="7">
        <v>1150</v>
      </c>
      <c r="B145" s="8" t="s">
        <v>286</v>
      </c>
      <c r="C145" s="8" t="s">
        <v>57</v>
      </c>
      <c r="D145" s="9">
        <v>9.4722222222222208E-2</v>
      </c>
      <c r="E145" s="8" t="s">
        <v>58</v>
      </c>
      <c r="F145" s="8" t="str">
        <f t="shared" si="2"/>
        <v>WK1</v>
      </c>
      <c r="G145" s="9">
        <v>0</v>
      </c>
      <c r="H145" s="9">
        <v>0</v>
      </c>
      <c r="I145" s="9">
        <v>0</v>
      </c>
      <c r="J145" s="9">
        <v>0</v>
      </c>
      <c r="K145" s="9">
        <v>0</v>
      </c>
      <c r="L145" s="9">
        <v>0</v>
      </c>
      <c r="M145" s="9">
        <v>0</v>
      </c>
      <c r="N145" s="9">
        <v>0.25</v>
      </c>
      <c r="O145" s="9">
        <v>0.5</v>
      </c>
      <c r="P145" s="9">
        <v>1</v>
      </c>
      <c r="Q145" s="9">
        <v>1</v>
      </c>
      <c r="R145" s="9">
        <v>1</v>
      </c>
      <c r="S145" s="9">
        <v>0.75</v>
      </c>
      <c r="T145" s="9">
        <v>0.75</v>
      </c>
      <c r="U145" s="9">
        <v>1</v>
      </c>
      <c r="V145" s="9">
        <v>1</v>
      </c>
      <c r="W145" s="9">
        <v>1</v>
      </c>
      <c r="X145" s="9">
        <v>0.5</v>
      </c>
      <c r="Y145" s="9">
        <v>0.25</v>
      </c>
      <c r="Z145" s="9">
        <v>0</v>
      </c>
      <c r="AA145" s="9">
        <v>0</v>
      </c>
      <c r="AB145" s="9">
        <v>0</v>
      </c>
      <c r="AC145" s="9">
        <v>0</v>
      </c>
      <c r="AD145" s="9">
        <v>0</v>
      </c>
    </row>
    <row r="146" spans="1:30" ht="51" hidden="1" x14ac:dyDescent="0.2">
      <c r="A146" s="7">
        <v>1151</v>
      </c>
      <c r="B146" s="8" t="s">
        <v>273</v>
      </c>
      <c r="C146" s="8" t="s">
        <v>57</v>
      </c>
      <c r="D146" s="9">
        <v>0.17599999992666671</v>
      </c>
      <c r="E146" s="8" t="s">
        <v>59</v>
      </c>
      <c r="F146" s="8" t="str">
        <f t="shared" si="2"/>
        <v>WK1</v>
      </c>
      <c r="G146" s="9">
        <v>0</v>
      </c>
      <c r="H146" s="9">
        <v>0</v>
      </c>
      <c r="I146" s="9">
        <v>0</v>
      </c>
      <c r="J146" s="9">
        <v>0</v>
      </c>
      <c r="K146" s="9">
        <v>0</v>
      </c>
      <c r="L146" s="9">
        <v>0</v>
      </c>
      <c r="M146" s="9">
        <v>0</v>
      </c>
      <c r="N146" s="9">
        <v>0</v>
      </c>
      <c r="O146" s="9">
        <v>0</v>
      </c>
      <c r="P146" s="9">
        <v>0</v>
      </c>
      <c r="Q146" s="9">
        <v>0</v>
      </c>
      <c r="R146" s="9">
        <v>0.25</v>
      </c>
      <c r="S146" s="9">
        <v>1</v>
      </c>
      <c r="T146" s="9">
        <v>1</v>
      </c>
      <c r="U146" s="9">
        <v>0.75</v>
      </c>
      <c r="V146" s="9">
        <v>0</v>
      </c>
      <c r="W146" s="9">
        <v>0</v>
      </c>
      <c r="X146" s="9">
        <v>0</v>
      </c>
      <c r="Y146" s="9">
        <v>0</v>
      </c>
      <c r="Z146" s="9">
        <v>0</v>
      </c>
      <c r="AA146" s="9">
        <v>0</v>
      </c>
      <c r="AB146" s="9">
        <v>0</v>
      </c>
      <c r="AC146" s="9">
        <v>0</v>
      </c>
      <c r="AD146" s="9">
        <v>0</v>
      </c>
    </row>
    <row r="147" spans="1:30" ht="51" hidden="1" x14ac:dyDescent="0.2">
      <c r="A147" s="7">
        <v>1152</v>
      </c>
      <c r="B147" s="8" t="s">
        <v>172</v>
      </c>
      <c r="C147" s="8" t="s">
        <v>57</v>
      </c>
      <c r="D147" s="9">
        <v>0.15</v>
      </c>
      <c r="E147" s="8" t="s">
        <v>60</v>
      </c>
      <c r="F147" s="8" t="str">
        <f t="shared" si="2"/>
        <v>WK1</v>
      </c>
      <c r="G147" s="9">
        <v>0</v>
      </c>
      <c r="H147" s="9">
        <v>0</v>
      </c>
      <c r="I147" s="9">
        <v>0</v>
      </c>
      <c r="J147" s="9">
        <v>0</v>
      </c>
      <c r="K147" s="9">
        <v>0</v>
      </c>
      <c r="L147" s="9">
        <v>0</v>
      </c>
      <c r="M147" s="9">
        <v>0</v>
      </c>
      <c r="N147" s="9">
        <v>0</v>
      </c>
      <c r="O147" s="9">
        <v>0</v>
      </c>
      <c r="P147" s="9">
        <v>1</v>
      </c>
      <c r="Q147" s="9">
        <v>1</v>
      </c>
      <c r="R147" s="9">
        <v>1</v>
      </c>
      <c r="S147" s="9">
        <v>1</v>
      </c>
      <c r="T147" s="9">
        <v>1</v>
      </c>
      <c r="U147" s="9">
        <v>1</v>
      </c>
      <c r="V147" s="9">
        <v>1</v>
      </c>
      <c r="W147" s="9">
        <v>1</v>
      </c>
      <c r="X147" s="9">
        <v>0</v>
      </c>
      <c r="Y147" s="9">
        <v>0</v>
      </c>
      <c r="Z147" s="9">
        <v>0</v>
      </c>
      <c r="AA147" s="9">
        <v>0</v>
      </c>
      <c r="AB147" s="9">
        <v>0</v>
      </c>
      <c r="AC147" s="9">
        <v>0</v>
      </c>
      <c r="AD147" s="9">
        <v>0</v>
      </c>
    </row>
    <row r="148" spans="1:30" ht="51" hidden="1" x14ac:dyDescent="0.2">
      <c r="A148" s="7">
        <v>1153</v>
      </c>
      <c r="B148" s="8" t="s">
        <v>365</v>
      </c>
      <c r="C148" s="8" t="s">
        <v>57</v>
      </c>
      <c r="D148" s="9">
        <v>9.7777777777777741E-2</v>
      </c>
      <c r="E148" s="8" t="s">
        <v>61</v>
      </c>
      <c r="F148" s="8" t="str">
        <f t="shared" si="2"/>
        <v>WK1</v>
      </c>
      <c r="G148" s="9">
        <v>0</v>
      </c>
      <c r="H148" s="9">
        <v>0</v>
      </c>
      <c r="I148" s="9">
        <v>0</v>
      </c>
      <c r="J148" s="9">
        <v>0</v>
      </c>
      <c r="K148" s="9">
        <v>0</v>
      </c>
      <c r="L148" s="9">
        <v>0</v>
      </c>
      <c r="M148" s="9">
        <v>0</v>
      </c>
      <c r="N148" s="9">
        <v>0.25</v>
      </c>
      <c r="O148" s="9">
        <v>0.5</v>
      </c>
      <c r="P148" s="9">
        <v>1</v>
      </c>
      <c r="Q148" s="9">
        <v>1</v>
      </c>
      <c r="R148" s="9">
        <v>1</v>
      </c>
      <c r="S148" s="9">
        <v>0.75</v>
      </c>
      <c r="T148" s="9">
        <v>0.75</v>
      </c>
      <c r="U148" s="9">
        <v>1</v>
      </c>
      <c r="V148" s="9">
        <v>1</v>
      </c>
      <c r="W148" s="9">
        <v>1</v>
      </c>
      <c r="X148" s="9">
        <v>0.5</v>
      </c>
      <c r="Y148" s="9">
        <v>0.25</v>
      </c>
      <c r="Z148" s="9">
        <v>0</v>
      </c>
      <c r="AA148" s="9">
        <v>0</v>
      </c>
      <c r="AB148" s="9">
        <v>0</v>
      </c>
      <c r="AC148" s="9">
        <v>0</v>
      </c>
      <c r="AD148" s="9">
        <v>0</v>
      </c>
    </row>
    <row r="149" spans="1:30" ht="51" x14ac:dyDescent="0.2">
      <c r="A149" s="7">
        <v>1154</v>
      </c>
      <c r="B149" s="8" t="s">
        <v>104</v>
      </c>
      <c r="C149" s="8" t="s">
        <v>57</v>
      </c>
      <c r="D149" s="9">
        <v>0.31999999986666666</v>
      </c>
      <c r="E149" s="8" t="s">
        <v>62</v>
      </c>
      <c r="F149" s="8" t="str">
        <f t="shared" si="2"/>
        <v>WK1</v>
      </c>
      <c r="G149" s="9">
        <v>0</v>
      </c>
      <c r="H149" s="9">
        <v>0</v>
      </c>
      <c r="I149" s="9">
        <v>0</v>
      </c>
      <c r="J149" s="9">
        <v>0</v>
      </c>
      <c r="K149" s="9">
        <v>0</v>
      </c>
      <c r="L149" s="9">
        <v>0</v>
      </c>
      <c r="M149" s="9">
        <v>0</v>
      </c>
      <c r="N149" s="9">
        <v>0</v>
      </c>
      <c r="O149" s="9">
        <v>0</v>
      </c>
      <c r="P149" s="9">
        <v>0</v>
      </c>
      <c r="Q149" s="9">
        <v>0</v>
      </c>
      <c r="R149" s="9">
        <v>0.25</v>
      </c>
      <c r="S149" s="9">
        <v>1</v>
      </c>
      <c r="T149" s="9">
        <v>1</v>
      </c>
      <c r="U149" s="9">
        <v>0.75</v>
      </c>
      <c r="V149" s="9">
        <v>0</v>
      </c>
      <c r="W149" s="9">
        <v>0</v>
      </c>
      <c r="X149" s="9">
        <v>0</v>
      </c>
      <c r="Y149" s="9">
        <v>0</v>
      </c>
      <c r="Z149" s="9">
        <v>0</v>
      </c>
      <c r="AA149" s="9">
        <v>0</v>
      </c>
      <c r="AB149" s="9">
        <v>0</v>
      </c>
      <c r="AC149" s="9">
        <v>0</v>
      </c>
      <c r="AD149" s="9">
        <v>0</v>
      </c>
    </row>
    <row r="150" spans="1:30" ht="51" hidden="1" x14ac:dyDescent="0.2">
      <c r="A150" s="7">
        <v>1155</v>
      </c>
      <c r="B150" s="8" t="s">
        <v>423</v>
      </c>
      <c r="C150" s="8" t="s">
        <v>57</v>
      </c>
      <c r="D150" s="9">
        <v>0.11</v>
      </c>
      <c r="E150" s="8" t="s">
        <v>555</v>
      </c>
      <c r="F150" s="8" t="str">
        <f t="shared" si="2"/>
        <v>WK1</v>
      </c>
      <c r="G150" s="9">
        <v>0</v>
      </c>
      <c r="H150" s="9">
        <v>0</v>
      </c>
      <c r="I150" s="9">
        <v>0</v>
      </c>
      <c r="J150" s="9">
        <v>0</v>
      </c>
      <c r="K150" s="9">
        <v>0</v>
      </c>
      <c r="L150" s="9">
        <v>0</v>
      </c>
      <c r="M150" s="9">
        <v>0</v>
      </c>
      <c r="N150" s="9">
        <v>0</v>
      </c>
      <c r="O150" s="9">
        <v>0</v>
      </c>
      <c r="P150" s="9">
        <v>0</v>
      </c>
      <c r="Q150" s="9">
        <v>0</v>
      </c>
      <c r="R150" s="9">
        <v>0</v>
      </c>
      <c r="S150" s="9">
        <v>0</v>
      </c>
      <c r="T150" s="9">
        <v>0</v>
      </c>
      <c r="U150" s="9">
        <v>0</v>
      </c>
      <c r="V150" s="9">
        <v>0</v>
      </c>
      <c r="W150" s="9">
        <v>0</v>
      </c>
      <c r="X150" s="9">
        <v>0</v>
      </c>
      <c r="Y150" s="9">
        <v>0</v>
      </c>
      <c r="Z150" s="9">
        <v>0</v>
      </c>
      <c r="AA150" s="9">
        <v>0</v>
      </c>
      <c r="AB150" s="9">
        <v>0</v>
      </c>
      <c r="AC150" s="9">
        <v>0</v>
      </c>
      <c r="AD150" s="9">
        <v>0</v>
      </c>
    </row>
    <row r="151" spans="1:30" ht="51" hidden="1" x14ac:dyDescent="0.2">
      <c r="A151" s="7">
        <v>1156</v>
      </c>
      <c r="B151" s="8" t="s">
        <v>106</v>
      </c>
      <c r="C151" s="8" t="s">
        <v>57</v>
      </c>
      <c r="D151" s="9">
        <v>6.222222222222222E-2</v>
      </c>
      <c r="E151" s="8" t="s">
        <v>63</v>
      </c>
      <c r="F151" s="8" t="str">
        <f t="shared" si="2"/>
        <v>WK1</v>
      </c>
      <c r="G151" s="9">
        <v>0</v>
      </c>
      <c r="H151" s="9">
        <v>0</v>
      </c>
      <c r="I151" s="9">
        <v>0</v>
      </c>
      <c r="J151" s="9">
        <v>0</v>
      </c>
      <c r="K151" s="9">
        <v>0</v>
      </c>
      <c r="L151" s="9">
        <v>0</v>
      </c>
      <c r="M151" s="9">
        <v>0</v>
      </c>
      <c r="N151" s="9">
        <v>0.25</v>
      </c>
      <c r="O151" s="9">
        <v>0.5</v>
      </c>
      <c r="P151" s="9">
        <v>1</v>
      </c>
      <c r="Q151" s="9">
        <v>1</v>
      </c>
      <c r="R151" s="9">
        <v>1</v>
      </c>
      <c r="S151" s="9">
        <v>0.75</v>
      </c>
      <c r="T151" s="9">
        <v>0.75</v>
      </c>
      <c r="U151" s="9">
        <v>1</v>
      </c>
      <c r="V151" s="9">
        <v>1</v>
      </c>
      <c r="W151" s="9">
        <v>1</v>
      </c>
      <c r="X151" s="9">
        <v>0.5</v>
      </c>
      <c r="Y151" s="9">
        <v>0.25</v>
      </c>
      <c r="Z151" s="9">
        <v>0</v>
      </c>
      <c r="AA151" s="9">
        <v>0</v>
      </c>
      <c r="AB151" s="9">
        <v>0</v>
      </c>
      <c r="AC151" s="9">
        <v>0</v>
      </c>
      <c r="AD151" s="9">
        <v>0</v>
      </c>
    </row>
    <row r="152" spans="1:30" ht="63.75" hidden="1" x14ac:dyDescent="0.2">
      <c r="A152" s="7">
        <v>1157</v>
      </c>
      <c r="B152" s="8" t="s">
        <v>64</v>
      </c>
      <c r="C152" s="8" t="s">
        <v>57</v>
      </c>
      <c r="D152" s="9">
        <v>0.14970231532524805</v>
      </c>
      <c r="E152" s="8" t="s">
        <v>65</v>
      </c>
      <c r="F152" s="8" t="str">
        <f t="shared" si="2"/>
        <v>Wk1</v>
      </c>
      <c r="G152" s="9">
        <v>0</v>
      </c>
      <c r="H152" s="9">
        <v>0</v>
      </c>
      <c r="I152" s="9">
        <v>0</v>
      </c>
      <c r="J152" s="9">
        <v>0</v>
      </c>
      <c r="K152" s="9">
        <v>0</v>
      </c>
      <c r="L152" s="9">
        <v>0</v>
      </c>
      <c r="M152" s="9">
        <v>0</v>
      </c>
      <c r="N152" s="9">
        <v>0.25</v>
      </c>
      <c r="O152" s="9">
        <v>0.5</v>
      </c>
      <c r="P152" s="9">
        <v>1</v>
      </c>
      <c r="Q152" s="9">
        <v>1</v>
      </c>
      <c r="R152" s="9">
        <v>1</v>
      </c>
      <c r="S152" s="9">
        <v>0.75</v>
      </c>
      <c r="T152" s="9">
        <v>0.75</v>
      </c>
      <c r="U152" s="9">
        <v>1</v>
      </c>
      <c r="V152" s="9">
        <v>1</v>
      </c>
      <c r="W152" s="9">
        <v>1</v>
      </c>
      <c r="X152" s="9">
        <v>0.5</v>
      </c>
      <c r="Y152" s="9">
        <v>0.25</v>
      </c>
      <c r="Z152" s="9">
        <v>0</v>
      </c>
      <c r="AA152" s="9">
        <v>0</v>
      </c>
      <c r="AB152" s="9">
        <v>0</v>
      </c>
      <c r="AC152" s="9">
        <v>0</v>
      </c>
      <c r="AD152" s="9">
        <v>0</v>
      </c>
    </row>
    <row r="153" spans="1:30" ht="51" hidden="1" x14ac:dyDescent="0.2">
      <c r="A153" s="7">
        <v>1158</v>
      </c>
      <c r="B153" s="8" t="s">
        <v>425</v>
      </c>
      <c r="C153" s="8" t="s">
        <v>57</v>
      </c>
      <c r="D153" s="9">
        <v>9.8666666666666666E-2</v>
      </c>
      <c r="E153" s="8" t="s">
        <v>66</v>
      </c>
      <c r="F153" s="8" t="str">
        <f t="shared" si="2"/>
        <v>WK1</v>
      </c>
      <c r="G153" s="9">
        <v>0</v>
      </c>
      <c r="H153" s="9">
        <v>0</v>
      </c>
      <c r="I153" s="9">
        <v>0</v>
      </c>
      <c r="J153" s="9">
        <v>0</v>
      </c>
      <c r="K153" s="9">
        <v>0</v>
      </c>
      <c r="L153" s="9">
        <v>0</v>
      </c>
      <c r="M153" s="9">
        <v>0</v>
      </c>
      <c r="N153" s="9">
        <v>0.25</v>
      </c>
      <c r="O153" s="9">
        <v>0.5</v>
      </c>
      <c r="P153" s="9">
        <v>1</v>
      </c>
      <c r="Q153" s="9">
        <v>1</v>
      </c>
      <c r="R153" s="9">
        <v>1</v>
      </c>
      <c r="S153" s="9">
        <v>0.75</v>
      </c>
      <c r="T153" s="9">
        <v>0.75</v>
      </c>
      <c r="U153" s="9">
        <v>1</v>
      </c>
      <c r="V153" s="9">
        <v>1</v>
      </c>
      <c r="W153" s="9">
        <v>1</v>
      </c>
      <c r="X153" s="9">
        <v>0.5</v>
      </c>
      <c r="Y153" s="9">
        <v>0.25</v>
      </c>
      <c r="Z153" s="9">
        <v>0</v>
      </c>
      <c r="AA153" s="9">
        <v>0</v>
      </c>
      <c r="AB153" s="9">
        <v>0</v>
      </c>
      <c r="AC153" s="9">
        <v>0</v>
      </c>
      <c r="AD153" s="9">
        <v>0</v>
      </c>
    </row>
    <row r="154" spans="1:30" ht="38.25" hidden="1" x14ac:dyDescent="0.2">
      <c r="A154" s="7">
        <v>1159</v>
      </c>
      <c r="B154" s="8" t="s">
        <v>418</v>
      </c>
      <c r="C154" s="8" t="s">
        <v>67</v>
      </c>
      <c r="D154" s="9">
        <v>0.11</v>
      </c>
      <c r="E154" s="8" t="s">
        <v>556</v>
      </c>
      <c r="F154" s="8" t="str">
        <f t="shared" si="2"/>
        <v>WK1</v>
      </c>
      <c r="G154" s="9">
        <v>0</v>
      </c>
      <c r="H154" s="9">
        <v>0</v>
      </c>
      <c r="I154" s="9">
        <v>0</v>
      </c>
      <c r="J154" s="9">
        <v>0</v>
      </c>
      <c r="K154" s="9">
        <v>0</v>
      </c>
      <c r="L154" s="9">
        <v>0</v>
      </c>
      <c r="M154" s="9">
        <v>0</v>
      </c>
      <c r="N154" s="9">
        <v>0</v>
      </c>
      <c r="O154" s="9">
        <v>1</v>
      </c>
      <c r="P154" s="9">
        <v>1</v>
      </c>
      <c r="Q154" s="9">
        <v>1</v>
      </c>
      <c r="R154" s="9">
        <v>1</v>
      </c>
      <c r="S154" s="9">
        <v>1</v>
      </c>
      <c r="T154" s="9">
        <v>1</v>
      </c>
      <c r="U154" s="9">
        <v>1</v>
      </c>
      <c r="V154" s="9">
        <v>1</v>
      </c>
      <c r="W154" s="9">
        <v>1</v>
      </c>
      <c r="X154" s="9">
        <v>1</v>
      </c>
      <c r="Y154" s="9">
        <v>0</v>
      </c>
      <c r="Z154" s="9">
        <v>0</v>
      </c>
      <c r="AA154" s="9">
        <v>0</v>
      </c>
      <c r="AB154" s="9">
        <v>0</v>
      </c>
      <c r="AC154" s="9">
        <v>0</v>
      </c>
      <c r="AD154" s="9">
        <v>0</v>
      </c>
    </row>
    <row r="155" spans="1:30" ht="51" hidden="1" x14ac:dyDescent="0.2">
      <c r="A155" s="7">
        <v>1160</v>
      </c>
      <c r="B155" s="8" t="s">
        <v>420</v>
      </c>
      <c r="C155" s="8" t="s">
        <v>67</v>
      </c>
      <c r="D155" s="9">
        <v>0.11</v>
      </c>
      <c r="E155" s="8" t="s">
        <v>557</v>
      </c>
      <c r="F155" s="8" t="str">
        <f t="shared" si="2"/>
        <v>WK1</v>
      </c>
      <c r="G155" s="9">
        <v>0</v>
      </c>
      <c r="H155" s="9">
        <v>0</v>
      </c>
      <c r="I155" s="9">
        <v>0</v>
      </c>
      <c r="J155" s="9">
        <v>0</v>
      </c>
      <c r="K155" s="9">
        <v>0</v>
      </c>
      <c r="L155" s="9">
        <v>0</v>
      </c>
      <c r="M155" s="9">
        <v>0</v>
      </c>
      <c r="N155" s="9">
        <v>0</v>
      </c>
      <c r="O155" s="9">
        <v>1</v>
      </c>
      <c r="P155" s="9">
        <v>1</v>
      </c>
      <c r="Q155" s="9">
        <v>1</v>
      </c>
      <c r="R155" s="9">
        <v>1</v>
      </c>
      <c r="S155" s="9">
        <v>1</v>
      </c>
      <c r="T155" s="9">
        <v>1</v>
      </c>
      <c r="U155" s="9">
        <v>1</v>
      </c>
      <c r="V155" s="9">
        <v>1</v>
      </c>
      <c r="W155" s="9">
        <v>1</v>
      </c>
      <c r="X155" s="9">
        <v>1</v>
      </c>
      <c r="Y155" s="9">
        <v>0</v>
      </c>
      <c r="Z155" s="9">
        <v>0</v>
      </c>
      <c r="AA155" s="9">
        <v>0</v>
      </c>
      <c r="AB155" s="9">
        <v>0</v>
      </c>
      <c r="AC155" s="9">
        <v>0</v>
      </c>
      <c r="AD155" s="9">
        <v>0</v>
      </c>
    </row>
    <row r="156" spans="1:30" ht="38.25" hidden="1" x14ac:dyDescent="0.2">
      <c r="A156" s="7">
        <v>1161</v>
      </c>
      <c r="B156" s="8" t="s">
        <v>370</v>
      </c>
      <c r="C156" s="8" t="s">
        <v>67</v>
      </c>
      <c r="D156" s="9">
        <v>0.11</v>
      </c>
      <c r="E156" s="8" t="s">
        <v>558</v>
      </c>
      <c r="F156" s="8" t="str">
        <f t="shared" si="2"/>
        <v>WK1</v>
      </c>
      <c r="G156" s="9">
        <v>0</v>
      </c>
      <c r="H156" s="9">
        <v>0</v>
      </c>
      <c r="I156" s="9">
        <v>0</v>
      </c>
      <c r="J156" s="9">
        <v>0</v>
      </c>
      <c r="K156" s="9">
        <v>0</v>
      </c>
      <c r="L156" s="9">
        <v>0</v>
      </c>
      <c r="M156" s="9">
        <v>0</v>
      </c>
      <c r="N156" s="9">
        <v>0</v>
      </c>
      <c r="O156" s="9">
        <v>1</v>
      </c>
      <c r="P156" s="9">
        <v>1</v>
      </c>
      <c r="Q156" s="9">
        <v>1</v>
      </c>
      <c r="R156" s="9">
        <v>1</v>
      </c>
      <c r="S156" s="9">
        <v>1</v>
      </c>
      <c r="T156" s="9">
        <v>1</v>
      </c>
      <c r="U156" s="9">
        <v>1</v>
      </c>
      <c r="V156" s="9">
        <v>1</v>
      </c>
      <c r="W156" s="9">
        <v>1</v>
      </c>
      <c r="X156" s="9">
        <v>1</v>
      </c>
      <c r="Y156" s="9">
        <v>0</v>
      </c>
      <c r="Z156" s="9">
        <v>0</v>
      </c>
      <c r="AA156" s="9">
        <v>0</v>
      </c>
      <c r="AB156" s="9">
        <v>0</v>
      </c>
      <c r="AC156" s="9">
        <v>0</v>
      </c>
      <c r="AD156" s="9">
        <v>0</v>
      </c>
    </row>
    <row r="157" spans="1:30" ht="51" hidden="1" x14ac:dyDescent="0.2">
      <c r="A157" s="7">
        <v>1162</v>
      </c>
      <c r="B157" s="8" t="s">
        <v>286</v>
      </c>
      <c r="C157" s="8" t="s">
        <v>67</v>
      </c>
      <c r="D157" s="9">
        <v>0.10845070422535211</v>
      </c>
      <c r="E157" s="8" t="s">
        <v>68</v>
      </c>
      <c r="F157" s="8" t="str">
        <f t="shared" si="2"/>
        <v>WK1</v>
      </c>
      <c r="G157" s="9">
        <v>0</v>
      </c>
      <c r="H157" s="9">
        <v>0</v>
      </c>
      <c r="I157" s="9">
        <v>0</v>
      </c>
      <c r="J157" s="9">
        <v>0</v>
      </c>
      <c r="K157" s="9">
        <v>0</v>
      </c>
      <c r="L157" s="9">
        <v>0</v>
      </c>
      <c r="M157" s="9">
        <v>0</v>
      </c>
      <c r="N157" s="9">
        <v>0.1</v>
      </c>
      <c r="O157" s="9">
        <v>0.25</v>
      </c>
      <c r="P157" s="9">
        <v>0.75</v>
      </c>
      <c r="Q157" s="9">
        <v>1</v>
      </c>
      <c r="R157" s="9">
        <v>1</v>
      </c>
      <c r="S157" s="9">
        <v>0.5</v>
      </c>
      <c r="T157" s="9">
        <v>0.5</v>
      </c>
      <c r="U157" s="9">
        <v>1</v>
      </c>
      <c r="V157" s="9">
        <v>1</v>
      </c>
      <c r="W157" s="9">
        <v>0.5</v>
      </c>
      <c r="X157" s="9">
        <v>0.5</v>
      </c>
      <c r="Y157" s="9">
        <v>0</v>
      </c>
      <c r="Z157" s="9">
        <v>0</v>
      </c>
      <c r="AA157" s="9">
        <v>0</v>
      </c>
      <c r="AB157" s="9">
        <v>0</v>
      </c>
      <c r="AC157" s="9">
        <v>0</v>
      </c>
      <c r="AD157" s="9">
        <v>0</v>
      </c>
    </row>
    <row r="158" spans="1:30" ht="51" hidden="1" x14ac:dyDescent="0.2">
      <c r="A158" s="7">
        <v>1163</v>
      </c>
      <c r="B158" s="8" t="s">
        <v>367</v>
      </c>
      <c r="C158" s="8" t="s">
        <v>67</v>
      </c>
      <c r="D158" s="9">
        <v>4.6875E-2</v>
      </c>
      <c r="E158" s="8" t="s">
        <v>69</v>
      </c>
      <c r="F158" s="8" t="str">
        <f t="shared" si="2"/>
        <v>WK1</v>
      </c>
      <c r="G158" s="9">
        <v>0</v>
      </c>
      <c r="H158" s="9">
        <v>0</v>
      </c>
      <c r="I158" s="9">
        <v>0</v>
      </c>
      <c r="J158" s="9">
        <v>0</v>
      </c>
      <c r="K158" s="9">
        <v>0</v>
      </c>
      <c r="L158" s="9">
        <v>0</v>
      </c>
      <c r="M158" s="9">
        <v>0</v>
      </c>
      <c r="N158" s="9">
        <v>0</v>
      </c>
      <c r="O158" s="9">
        <v>0</v>
      </c>
      <c r="P158" s="9">
        <v>0.75</v>
      </c>
      <c r="Q158" s="9">
        <v>1</v>
      </c>
      <c r="R158" s="9">
        <v>1</v>
      </c>
      <c r="S158" s="9">
        <v>0.75</v>
      </c>
      <c r="T158" s="9">
        <v>0.75</v>
      </c>
      <c r="U158" s="9">
        <v>1</v>
      </c>
      <c r="V158" s="9">
        <v>1</v>
      </c>
      <c r="W158" s="9">
        <v>1</v>
      </c>
      <c r="X158" s="9">
        <v>0.75</v>
      </c>
      <c r="Y158" s="9">
        <v>0</v>
      </c>
      <c r="Z158" s="9">
        <v>0</v>
      </c>
      <c r="AA158" s="9">
        <v>0</v>
      </c>
      <c r="AB158" s="9">
        <v>0</v>
      </c>
      <c r="AC158" s="9">
        <v>0</v>
      </c>
      <c r="AD158" s="9">
        <v>0</v>
      </c>
    </row>
    <row r="159" spans="1:30" ht="51" hidden="1" x14ac:dyDescent="0.2">
      <c r="A159" s="7">
        <v>1164</v>
      </c>
      <c r="B159" s="8" t="s">
        <v>273</v>
      </c>
      <c r="C159" s="8" t="s">
        <v>67</v>
      </c>
      <c r="D159" s="9">
        <v>0.14299999999999999</v>
      </c>
      <c r="E159" s="8" t="s">
        <v>70</v>
      </c>
      <c r="F159" s="8" t="str">
        <f t="shared" si="2"/>
        <v>WK1</v>
      </c>
      <c r="G159" s="9">
        <v>0</v>
      </c>
      <c r="H159" s="9">
        <v>0</v>
      </c>
      <c r="I159" s="9">
        <v>0</v>
      </c>
      <c r="J159" s="9">
        <v>0</v>
      </c>
      <c r="K159" s="9">
        <v>0</v>
      </c>
      <c r="L159" s="9">
        <v>0</v>
      </c>
      <c r="M159" s="9">
        <v>0</v>
      </c>
      <c r="N159" s="9">
        <v>0</v>
      </c>
      <c r="O159" s="9">
        <v>0</v>
      </c>
      <c r="P159" s="9">
        <v>0</v>
      </c>
      <c r="Q159" s="9">
        <v>0</v>
      </c>
      <c r="R159" s="9">
        <v>0.25</v>
      </c>
      <c r="S159" s="9">
        <v>1</v>
      </c>
      <c r="T159" s="9">
        <v>1</v>
      </c>
      <c r="U159" s="9">
        <v>0.75</v>
      </c>
      <c r="V159" s="9">
        <v>0</v>
      </c>
      <c r="W159" s="9">
        <v>0</v>
      </c>
      <c r="X159" s="9">
        <v>0</v>
      </c>
      <c r="Y159" s="9">
        <v>0</v>
      </c>
      <c r="Z159" s="9">
        <v>0</v>
      </c>
      <c r="AA159" s="9">
        <v>0</v>
      </c>
      <c r="AB159" s="9">
        <v>0</v>
      </c>
      <c r="AC159" s="9">
        <v>0</v>
      </c>
      <c r="AD159" s="9">
        <v>0</v>
      </c>
    </row>
    <row r="160" spans="1:30" ht="51" x14ac:dyDescent="0.2">
      <c r="A160" s="7">
        <v>1165</v>
      </c>
      <c r="B160" s="8" t="s">
        <v>104</v>
      </c>
      <c r="C160" s="8" t="s">
        <v>67</v>
      </c>
      <c r="D160" s="9">
        <v>0.3</v>
      </c>
      <c r="E160" s="8" t="s">
        <v>71</v>
      </c>
      <c r="F160" s="8" t="str">
        <f t="shared" si="2"/>
        <v>WK1</v>
      </c>
      <c r="G160" s="9">
        <v>0</v>
      </c>
      <c r="H160" s="9">
        <v>0</v>
      </c>
      <c r="I160" s="9">
        <v>0</v>
      </c>
      <c r="J160" s="9">
        <v>0</v>
      </c>
      <c r="K160" s="9">
        <v>0</v>
      </c>
      <c r="L160" s="9">
        <v>0</v>
      </c>
      <c r="M160" s="9">
        <v>0</v>
      </c>
      <c r="N160" s="9">
        <v>0</v>
      </c>
      <c r="O160" s="9">
        <v>0</v>
      </c>
      <c r="P160" s="9">
        <v>0</v>
      </c>
      <c r="Q160" s="9">
        <v>0</v>
      </c>
      <c r="R160" s="9">
        <v>0.25</v>
      </c>
      <c r="S160" s="9">
        <v>1</v>
      </c>
      <c r="T160" s="9">
        <v>1</v>
      </c>
      <c r="U160" s="9">
        <v>0.75</v>
      </c>
      <c r="V160" s="9">
        <v>0</v>
      </c>
      <c r="W160" s="9">
        <v>0</v>
      </c>
      <c r="X160" s="9">
        <v>0</v>
      </c>
      <c r="Y160" s="9">
        <v>0</v>
      </c>
      <c r="Z160" s="9">
        <v>0</v>
      </c>
      <c r="AA160" s="9">
        <v>0</v>
      </c>
      <c r="AB160" s="9">
        <v>0</v>
      </c>
      <c r="AC160" s="9">
        <v>0</v>
      </c>
      <c r="AD160" s="9">
        <v>0</v>
      </c>
    </row>
    <row r="161" spans="1:30" ht="38.25" hidden="1" x14ac:dyDescent="0.2">
      <c r="A161" s="7">
        <v>1166</v>
      </c>
      <c r="B161" s="8" t="s">
        <v>423</v>
      </c>
      <c r="C161" s="8" t="s">
        <v>67</v>
      </c>
      <c r="D161" s="9">
        <v>0.11</v>
      </c>
      <c r="E161" s="8" t="s">
        <v>559</v>
      </c>
      <c r="F161" s="8" t="str">
        <f t="shared" si="2"/>
        <v>WK1</v>
      </c>
      <c r="G161" s="9">
        <v>0</v>
      </c>
      <c r="H161" s="9">
        <v>0</v>
      </c>
      <c r="I161" s="9">
        <v>0</v>
      </c>
      <c r="J161" s="9">
        <v>0</v>
      </c>
      <c r="K161" s="9">
        <v>0</v>
      </c>
      <c r="L161" s="9">
        <v>0</v>
      </c>
      <c r="M161" s="9">
        <v>0</v>
      </c>
      <c r="N161" s="9">
        <v>0</v>
      </c>
      <c r="O161" s="9">
        <v>0</v>
      </c>
      <c r="P161" s="9">
        <v>0</v>
      </c>
      <c r="Q161" s="9">
        <v>0</v>
      </c>
      <c r="R161" s="9">
        <v>0</v>
      </c>
      <c r="S161" s="9">
        <v>0</v>
      </c>
      <c r="T161" s="9">
        <v>0</v>
      </c>
      <c r="U161" s="9">
        <v>0</v>
      </c>
      <c r="V161" s="9">
        <v>0</v>
      </c>
      <c r="W161" s="9">
        <v>0</v>
      </c>
      <c r="X161" s="9">
        <v>0</v>
      </c>
      <c r="Y161" s="9">
        <v>0</v>
      </c>
      <c r="Z161" s="9">
        <v>0</v>
      </c>
      <c r="AA161" s="9">
        <v>0</v>
      </c>
      <c r="AB161" s="9">
        <v>0</v>
      </c>
      <c r="AC161" s="9">
        <v>0</v>
      </c>
      <c r="AD161" s="9">
        <v>0</v>
      </c>
    </row>
    <row r="162" spans="1:30" ht="51" hidden="1" x14ac:dyDescent="0.2">
      <c r="A162" s="7">
        <v>1167</v>
      </c>
      <c r="B162" s="8" t="s">
        <v>127</v>
      </c>
      <c r="C162" s="8" t="s">
        <v>67</v>
      </c>
      <c r="D162" s="9">
        <v>0.11375</v>
      </c>
      <c r="E162" s="8" t="s">
        <v>72</v>
      </c>
      <c r="F162" s="8" t="str">
        <f t="shared" si="2"/>
        <v>WK1</v>
      </c>
      <c r="G162" s="9">
        <v>0</v>
      </c>
      <c r="H162" s="9">
        <v>0</v>
      </c>
      <c r="I162" s="9">
        <v>0</v>
      </c>
      <c r="J162" s="9">
        <v>0</v>
      </c>
      <c r="K162" s="9">
        <v>0</v>
      </c>
      <c r="L162" s="9">
        <v>0</v>
      </c>
      <c r="M162" s="9">
        <v>0</v>
      </c>
      <c r="N162" s="9">
        <v>0</v>
      </c>
      <c r="O162" s="9">
        <v>0</v>
      </c>
      <c r="P162" s="9">
        <v>0.75</v>
      </c>
      <c r="Q162" s="9">
        <v>1</v>
      </c>
      <c r="R162" s="9">
        <v>1</v>
      </c>
      <c r="S162" s="9">
        <v>0.75</v>
      </c>
      <c r="T162" s="9">
        <v>0.75</v>
      </c>
      <c r="U162" s="9">
        <v>1</v>
      </c>
      <c r="V162" s="9">
        <v>1</v>
      </c>
      <c r="W162" s="9">
        <v>1</v>
      </c>
      <c r="X162" s="9">
        <v>0.75</v>
      </c>
      <c r="Y162" s="9">
        <v>0</v>
      </c>
      <c r="Z162" s="9">
        <v>0</v>
      </c>
      <c r="AA162" s="9">
        <v>0</v>
      </c>
      <c r="AB162" s="9">
        <v>0</v>
      </c>
      <c r="AC162" s="9">
        <v>0</v>
      </c>
      <c r="AD162" s="9">
        <v>0</v>
      </c>
    </row>
    <row r="163" spans="1:30" ht="51" hidden="1" x14ac:dyDescent="0.2">
      <c r="A163" s="7">
        <v>1168</v>
      </c>
      <c r="B163" s="8" t="s">
        <v>106</v>
      </c>
      <c r="C163" s="8" t="s">
        <v>67</v>
      </c>
      <c r="D163" s="9">
        <v>6.4166666666666691E-2</v>
      </c>
      <c r="E163" s="8" t="s">
        <v>73</v>
      </c>
      <c r="F163" s="8" t="str">
        <f t="shared" si="2"/>
        <v>Wk1</v>
      </c>
      <c r="G163" s="9">
        <v>0</v>
      </c>
      <c r="H163" s="9">
        <v>0</v>
      </c>
      <c r="I163" s="9">
        <v>0</v>
      </c>
      <c r="J163" s="9">
        <v>0</v>
      </c>
      <c r="K163" s="9">
        <v>0</v>
      </c>
      <c r="L163" s="9">
        <v>0</v>
      </c>
      <c r="M163" s="9">
        <v>0</v>
      </c>
      <c r="N163" s="9">
        <v>0</v>
      </c>
      <c r="O163" s="9">
        <v>0</v>
      </c>
      <c r="P163" s="9">
        <v>1</v>
      </c>
      <c r="Q163" s="9">
        <v>1</v>
      </c>
      <c r="R163" s="9">
        <v>1</v>
      </c>
      <c r="S163" s="9">
        <v>1</v>
      </c>
      <c r="T163" s="9">
        <v>1</v>
      </c>
      <c r="U163" s="9">
        <v>1</v>
      </c>
      <c r="V163" s="9">
        <v>1</v>
      </c>
      <c r="W163" s="9">
        <v>1</v>
      </c>
      <c r="X163" s="9">
        <v>1</v>
      </c>
      <c r="Y163" s="9">
        <v>1</v>
      </c>
      <c r="Z163" s="9">
        <v>1</v>
      </c>
      <c r="AA163" s="9">
        <v>1</v>
      </c>
      <c r="AB163" s="9">
        <v>0</v>
      </c>
      <c r="AC163" s="9">
        <v>0</v>
      </c>
      <c r="AD163" s="9">
        <v>0</v>
      </c>
    </row>
    <row r="164" spans="1:30" ht="38.25" hidden="1" x14ac:dyDescent="0.2">
      <c r="A164" s="7">
        <v>1169</v>
      </c>
      <c r="B164" s="8" t="s">
        <v>172</v>
      </c>
      <c r="C164" s="8" t="s">
        <v>67</v>
      </c>
      <c r="D164" s="9">
        <v>0.16901408450704225</v>
      </c>
      <c r="E164" s="8" t="s">
        <v>74</v>
      </c>
      <c r="F164" s="8" t="str">
        <f t="shared" si="2"/>
        <v>WK1</v>
      </c>
      <c r="G164" s="9">
        <v>0</v>
      </c>
      <c r="H164" s="9">
        <v>0</v>
      </c>
      <c r="I164" s="9">
        <v>0</v>
      </c>
      <c r="J164" s="9">
        <v>0</v>
      </c>
      <c r="K164" s="9">
        <v>0</v>
      </c>
      <c r="L164" s="9">
        <v>0</v>
      </c>
      <c r="M164" s="9">
        <v>0</v>
      </c>
      <c r="N164" s="9">
        <v>0.1</v>
      </c>
      <c r="O164" s="9">
        <v>0.25</v>
      </c>
      <c r="P164" s="9">
        <v>0.75</v>
      </c>
      <c r="Q164" s="9">
        <v>1</v>
      </c>
      <c r="R164" s="9">
        <v>1</v>
      </c>
      <c r="S164" s="9">
        <v>0.5</v>
      </c>
      <c r="T164" s="9">
        <v>0.5</v>
      </c>
      <c r="U164" s="9">
        <v>1</v>
      </c>
      <c r="V164" s="9">
        <v>1</v>
      </c>
      <c r="W164" s="9">
        <v>0.5</v>
      </c>
      <c r="X164" s="9">
        <v>0.5</v>
      </c>
      <c r="Y164" s="9">
        <v>0</v>
      </c>
      <c r="Z164" s="9">
        <v>0</v>
      </c>
      <c r="AA164" s="9">
        <v>0</v>
      </c>
      <c r="AB164" s="9">
        <v>0</v>
      </c>
      <c r="AC164" s="9">
        <v>0</v>
      </c>
      <c r="AD164" s="9">
        <v>0</v>
      </c>
    </row>
    <row r="165" spans="1:30" ht="38.25" hidden="1" x14ac:dyDescent="0.2">
      <c r="A165" s="7">
        <v>1170</v>
      </c>
      <c r="B165" s="8" t="s">
        <v>247</v>
      </c>
      <c r="C165" s="8" t="s">
        <v>67</v>
      </c>
      <c r="D165" s="9">
        <v>0.10588028169014085</v>
      </c>
      <c r="E165" s="8" t="s">
        <v>75</v>
      </c>
      <c r="F165" s="8" t="str">
        <f t="shared" si="2"/>
        <v>WK1</v>
      </c>
      <c r="G165" s="9">
        <v>0</v>
      </c>
      <c r="H165" s="9">
        <v>0</v>
      </c>
      <c r="I165" s="9">
        <v>0</v>
      </c>
      <c r="J165" s="9">
        <v>0</v>
      </c>
      <c r="K165" s="9">
        <v>0</v>
      </c>
      <c r="L165" s="9">
        <v>0</v>
      </c>
      <c r="M165" s="9">
        <v>0</v>
      </c>
      <c r="N165" s="9">
        <v>0.1</v>
      </c>
      <c r="O165" s="9">
        <v>0.25</v>
      </c>
      <c r="P165" s="9">
        <v>0.75</v>
      </c>
      <c r="Q165" s="9">
        <v>1</v>
      </c>
      <c r="R165" s="9">
        <v>1</v>
      </c>
      <c r="S165" s="9">
        <v>0.5</v>
      </c>
      <c r="T165" s="9">
        <v>0.5</v>
      </c>
      <c r="U165" s="9">
        <v>1</v>
      </c>
      <c r="V165" s="9">
        <v>1</v>
      </c>
      <c r="W165" s="9">
        <v>0.5</v>
      </c>
      <c r="X165" s="9">
        <v>0.5</v>
      </c>
      <c r="Y165" s="9">
        <v>0</v>
      </c>
      <c r="Z165" s="9">
        <v>0</v>
      </c>
      <c r="AA165" s="9">
        <v>0</v>
      </c>
      <c r="AB165" s="9">
        <v>0</v>
      </c>
      <c r="AC165" s="9">
        <v>0</v>
      </c>
      <c r="AD165" s="9">
        <v>0</v>
      </c>
    </row>
    <row r="166" spans="1:30" ht="51" hidden="1" x14ac:dyDescent="0.2">
      <c r="A166" s="7">
        <v>1171</v>
      </c>
      <c r="B166" s="8" t="s">
        <v>418</v>
      </c>
      <c r="C166" s="8" t="s">
        <v>76</v>
      </c>
      <c r="D166" s="9">
        <v>0.12100000000000001</v>
      </c>
      <c r="E166" s="8" t="s">
        <v>560</v>
      </c>
      <c r="F166" s="8" t="str">
        <f t="shared" si="2"/>
        <v>WK1</v>
      </c>
      <c r="G166" s="9">
        <v>0</v>
      </c>
      <c r="H166" s="9">
        <v>0</v>
      </c>
      <c r="I166" s="9">
        <v>0</v>
      </c>
      <c r="J166" s="9">
        <v>0</v>
      </c>
      <c r="K166" s="9">
        <v>0</v>
      </c>
      <c r="L166" s="9">
        <v>0</v>
      </c>
      <c r="M166" s="9">
        <v>0</v>
      </c>
      <c r="N166" s="9">
        <v>0</v>
      </c>
      <c r="O166" s="9">
        <v>1</v>
      </c>
      <c r="P166" s="9">
        <v>1</v>
      </c>
      <c r="Q166" s="9">
        <v>1</v>
      </c>
      <c r="R166" s="9">
        <v>1</v>
      </c>
      <c r="S166" s="9">
        <v>1</v>
      </c>
      <c r="T166" s="9">
        <v>1</v>
      </c>
      <c r="U166" s="9">
        <v>1</v>
      </c>
      <c r="V166" s="9">
        <v>1</v>
      </c>
      <c r="W166" s="9">
        <v>1</v>
      </c>
      <c r="X166" s="9">
        <v>1</v>
      </c>
      <c r="Y166" s="9">
        <v>0</v>
      </c>
      <c r="Z166" s="9">
        <v>0</v>
      </c>
      <c r="AA166" s="9">
        <v>0</v>
      </c>
      <c r="AB166" s="9">
        <v>0</v>
      </c>
      <c r="AC166" s="9">
        <v>0</v>
      </c>
      <c r="AD166" s="9">
        <v>0</v>
      </c>
    </row>
    <row r="167" spans="1:30" ht="51" hidden="1" x14ac:dyDescent="0.2">
      <c r="A167" s="7">
        <v>1172</v>
      </c>
      <c r="B167" s="8" t="s">
        <v>420</v>
      </c>
      <c r="C167" s="8" t="s">
        <v>76</v>
      </c>
      <c r="D167" s="9">
        <v>0.12100000000000001</v>
      </c>
      <c r="E167" s="8" t="s">
        <v>561</v>
      </c>
      <c r="F167" s="8" t="str">
        <f t="shared" si="2"/>
        <v>WK1</v>
      </c>
      <c r="G167" s="9">
        <v>0</v>
      </c>
      <c r="H167" s="9">
        <v>0</v>
      </c>
      <c r="I167" s="9">
        <v>0</v>
      </c>
      <c r="J167" s="9">
        <v>0</v>
      </c>
      <c r="K167" s="9">
        <v>0</v>
      </c>
      <c r="L167" s="9">
        <v>0</v>
      </c>
      <c r="M167" s="9">
        <v>0</v>
      </c>
      <c r="N167" s="9">
        <v>0</v>
      </c>
      <c r="O167" s="9">
        <v>1</v>
      </c>
      <c r="P167" s="9">
        <v>1</v>
      </c>
      <c r="Q167" s="9">
        <v>1</v>
      </c>
      <c r="R167" s="9">
        <v>1</v>
      </c>
      <c r="S167" s="9">
        <v>1</v>
      </c>
      <c r="T167" s="9">
        <v>1</v>
      </c>
      <c r="U167" s="9">
        <v>1</v>
      </c>
      <c r="V167" s="9">
        <v>1</v>
      </c>
      <c r="W167" s="9">
        <v>1</v>
      </c>
      <c r="X167" s="9">
        <v>1</v>
      </c>
      <c r="Y167" s="9">
        <v>0</v>
      </c>
      <c r="Z167" s="9">
        <v>0</v>
      </c>
      <c r="AA167" s="9">
        <v>0</v>
      </c>
      <c r="AB167" s="9">
        <v>0</v>
      </c>
      <c r="AC167" s="9">
        <v>0</v>
      </c>
      <c r="AD167" s="9">
        <v>0</v>
      </c>
    </row>
    <row r="168" spans="1:30" ht="51" hidden="1" x14ac:dyDescent="0.2">
      <c r="A168" s="7">
        <v>1173</v>
      </c>
      <c r="B168" s="8" t="s">
        <v>370</v>
      </c>
      <c r="C168" s="8" t="s">
        <v>76</v>
      </c>
      <c r="D168" s="9">
        <v>0.12100000000000001</v>
      </c>
      <c r="E168" s="8" t="s">
        <v>562</v>
      </c>
      <c r="F168" s="8" t="str">
        <f t="shared" si="2"/>
        <v>WK1</v>
      </c>
      <c r="G168" s="9">
        <v>0</v>
      </c>
      <c r="H168" s="9">
        <v>0</v>
      </c>
      <c r="I168" s="9">
        <v>0</v>
      </c>
      <c r="J168" s="9">
        <v>0</v>
      </c>
      <c r="K168" s="9">
        <v>0</v>
      </c>
      <c r="L168" s="9">
        <v>0</v>
      </c>
      <c r="M168" s="9">
        <v>0</v>
      </c>
      <c r="N168" s="9">
        <v>0</v>
      </c>
      <c r="O168" s="9">
        <v>1</v>
      </c>
      <c r="P168" s="9">
        <v>1</v>
      </c>
      <c r="Q168" s="9">
        <v>1</v>
      </c>
      <c r="R168" s="9">
        <v>1</v>
      </c>
      <c r="S168" s="9">
        <v>1</v>
      </c>
      <c r="T168" s="9">
        <v>1</v>
      </c>
      <c r="U168" s="9">
        <v>1</v>
      </c>
      <c r="V168" s="9">
        <v>1</v>
      </c>
      <c r="W168" s="9">
        <v>1</v>
      </c>
      <c r="X168" s="9">
        <v>1</v>
      </c>
      <c r="Y168" s="9">
        <v>0</v>
      </c>
      <c r="Z168" s="9">
        <v>0</v>
      </c>
      <c r="AA168" s="9">
        <v>0</v>
      </c>
      <c r="AB168" s="9">
        <v>0</v>
      </c>
      <c r="AC168" s="9">
        <v>0</v>
      </c>
      <c r="AD168" s="9">
        <v>0</v>
      </c>
    </row>
    <row r="169" spans="1:30" ht="51" hidden="1" x14ac:dyDescent="0.2">
      <c r="A169" s="7">
        <v>1174</v>
      </c>
      <c r="B169" s="8" t="s">
        <v>286</v>
      </c>
      <c r="C169" s="8" t="s">
        <v>76</v>
      </c>
      <c r="D169" s="9">
        <v>0.11</v>
      </c>
      <c r="E169" s="8" t="s">
        <v>77</v>
      </c>
      <c r="F169" s="8" t="str">
        <f t="shared" si="2"/>
        <v>WK1</v>
      </c>
      <c r="G169" s="9">
        <v>0</v>
      </c>
      <c r="H169" s="9">
        <v>0</v>
      </c>
      <c r="I169" s="9">
        <v>0</v>
      </c>
      <c r="J169" s="9">
        <v>0</v>
      </c>
      <c r="K169" s="9">
        <v>0</v>
      </c>
      <c r="L169" s="9">
        <v>0</v>
      </c>
      <c r="M169" s="9">
        <v>0</v>
      </c>
      <c r="N169" s="9">
        <v>0.25</v>
      </c>
      <c r="O169" s="9">
        <v>0.5</v>
      </c>
      <c r="P169" s="9">
        <v>1</v>
      </c>
      <c r="Q169" s="9">
        <v>1</v>
      </c>
      <c r="R169" s="9">
        <v>1</v>
      </c>
      <c r="S169" s="9">
        <v>0.75</v>
      </c>
      <c r="T169" s="9">
        <v>0.75</v>
      </c>
      <c r="U169" s="9">
        <v>1</v>
      </c>
      <c r="V169" s="9">
        <v>1</v>
      </c>
      <c r="W169" s="9">
        <v>1</v>
      </c>
      <c r="X169" s="9">
        <v>0.5</v>
      </c>
      <c r="Y169" s="9">
        <v>0.25</v>
      </c>
      <c r="Z169" s="9">
        <v>0</v>
      </c>
      <c r="AA169" s="9">
        <v>0</v>
      </c>
      <c r="AB169" s="9">
        <v>0</v>
      </c>
      <c r="AC169" s="9">
        <v>0</v>
      </c>
      <c r="AD169" s="9">
        <v>0</v>
      </c>
    </row>
    <row r="170" spans="1:30" ht="51" hidden="1" x14ac:dyDescent="0.2">
      <c r="A170" s="7">
        <v>1175</v>
      </c>
      <c r="B170" s="8" t="s">
        <v>423</v>
      </c>
      <c r="C170" s="8" t="s">
        <v>76</v>
      </c>
      <c r="D170" s="9">
        <v>0.11</v>
      </c>
      <c r="E170" s="8" t="s">
        <v>563</v>
      </c>
      <c r="F170" s="8" t="str">
        <f t="shared" si="2"/>
        <v>WK1</v>
      </c>
      <c r="G170" s="9">
        <v>0</v>
      </c>
      <c r="H170" s="9">
        <v>0</v>
      </c>
      <c r="I170" s="9">
        <v>0</v>
      </c>
      <c r="J170" s="9">
        <v>0</v>
      </c>
      <c r="K170" s="9">
        <v>0</v>
      </c>
      <c r="L170" s="9">
        <v>0</v>
      </c>
      <c r="M170" s="9">
        <v>0</v>
      </c>
      <c r="N170" s="9">
        <v>0</v>
      </c>
      <c r="O170" s="9">
        <v>0</v>
      </c>
      <c r="P170" s="9">
        <v>0</v>
      </c>
      <c r="Q170" s="9">
        <v>0</v>
      </c>
      <c r="R170" s="9">
        <v>0</v>
      </c>
      <c r="S170" s="9">
        <v>0</v>
      </c>
      <c r="T170" s="9">
        <v>0</v>
      </c>
      <c r="U170" s="9">
        <v>0</v>
      </c>
      <c r="V170" s="9">
        <v>0</v>
      </c>
      <c r="W170" s="9">
        <v>0</v>
      </c>
      <c r="X170" s="9">
        <v>0</v>
      </c>
      <c r="Y170" s="9">
        <v>0</v>
      </c>
      <c r="Z170" s="9">
        <v>0</v>
      </c>
      <c r="AA170" s="9">
        <v>0</v>
      </c>
      <c r="AB170" s="9">
        <v>0</v>
      </c>
      <c r="AC170" s="9">
        <v>0</v>
      </c>
      <c r="AD170" s="9">
        <v>0</v>
      </c>
    </row>
    <row r="171" spans="1:30" ht="51" hidden="1" x14ac:dyDescent="0.2">
      <c r="A171" s="7">
        <v>1176</v>
      </c>
      <c r="B171" s="8" t="s">
        <v>247</v>
      </c>
      <c r="C171" s="8" t="s">
        <v>76</v>
      </c>
      <c r="D171" s="9">
        <v>8.199999999999999E-2</v>
      </c>
      <c r="E171" s="8" t="s">
        <v>78</v>
      </c>
      <c r="F171" s="8" t="str">
        <f t="shared" si="2"/>
        <v>WK1</v>
      </c>
      <c r="G171" s="9">
        <v>0</v>
      </c>
      <c r="H171" s="9">
        <v>0</v>
      </c>
      <c r="I171" s="9">
        <v>0</v>
      </c>
      <c r="J171" s="9">
        <v>0</v>
      </c>
      <c r="K171" s="9">
        <v>0</v>
      </c>
      <c r="L171" s="9">
        <v>0</v>
      </c>
      <c r="M171" s="9">
        <v>0</v>
      </c>
      <c r="N171" s="9">
        <v>0.25</v>
      </c>
      <c r="O171" s="9">
        <v>0.5</v>
      </c>
      <c r="P171" s="9">
        <v>1</v>
      </c>
      <c r="Q171" s="9">
        <v>1</v>
      </c>
      <c r="R171" s="9">
        <v>1</v>
      </c>
      <c r="S171" s="9">
        <v>0.75</v>
      </c>
      <c r="T171" s="9">
        <v>0.75</v>
      </c>
      <c r="U171" s="9">
        <v>1</v>
      </c>
      <c r="V171" s="9">
        <v>1</v>
      </c>
      <c r="W171" s="9">
        <v>1</v>
      </c>
      <c r="X171" s="9">
        <v>0.5</v>
      </c>
      <c r="Y171" s="9">
        <v>0.25</v>
      </c>
      <c r="Z171" s="9">
        <v>0</v>
      </c>
      <c r="AA171" s="9">
        <v>0</v>
      </c>
      <c r="AB171" s="9">
        <v>0</v>
      </c>
      <c r="AC171" s="9">
        <v>0</v>
      </c>
      <c r="AD171" s="9">
        <v>0</v>
      </c>
    </row>
    <row r="172" spans="1:30" ht="38.25" hidden="1" x14ac:dyDescent="0.2">
      <c r="A172" s="7">
        <v>1177</v>
      </c>
      <c r="B172" s="8" t="s">
        <v>418</v>
      </c>
      <c r="C172" s="8" t="s">
        <v>314</v>
      </c>
      <c r="D172" s="9">
        <v>0.12375</v>
      </c>
      <c r="E172" s="8" t="s">
        <v>564</v>
      </c>
      <c r="F172" s="8" t="str">
        <f t="shared" si="2"/>
        <v>WK1</v>
      </c>
      <c r="G172" s="9">
        <v>0</v>
      </c>
      <c r="H172" s="9">
        <v>0</v>
      </c>
      <c r="I172" s="9">
        <v>0</v>
      </c>
      <c r="J172" s="9">
        <v>0</v>
      </c>
      <c r="K172" s="9">
        <v>0</v>
      </c>
      <c r="L172" s="9">
        <v>0</v>
      </c>
      <c r="M172" s="9">
        <v>0</v>
      </c>
      <c r="N172" s="9">
        <v>0</v>
      </c>
      <c r="O172" s="9">
        <v>0</v>
      </c>
      <c r="P172" s="9">
        <v>0.75</v>
      </c>
      <c r="Q172" s="9">
        <v>1</v>
      </c>
      <c r="R172" s="9">
        <v>1</v>
      </c>
      <c r="S172" s="9">
        <v>0.75</v>
      </c>
      <c r="T172" s="9">
        <v>0.75</v>
      </c>
      <c r="U172" s="9">
        <v>1</v>
      </c>
      <c r="V172" s="9">
        <v>1</v>
      </c>
      <c r="W172" s="9">
        <v>1</v>
      </c>
      <c r="X172" s="9">
        <v>0.75</v>
      </c>
      <c r="Y172" s="9">
        <v>0</v>
      </c>
      <c r="Z172" s="9">
        <v>0</v>
      </c>
      <c r="AA172" s="9">
        <v>0</v>
      </c>
      <c r="AB172" s="9">
        <v>0</v>
      </c>
      <c r="AC172" s="9">
        <v>0</v>
      </c>
      <c r="AD172" s="9">
        <v>0</v>
      </c>
    </row>
    <row r="173" spans="1:30" ht="51" hidden="1" x14ac:dyDescent="0.2">
      <c r="A173" s="7">
        <v>1178</v>
      </c>
      <c r="B173" s="8" t="s">
        <v>420</v>
      </c>
      <c r="C173" s="8" t="s">
        <v>314</v>
      </c>
      <c r="D173" s="9">
        <v>0.11244444444444444</v>
      </c>
      <c r="E173" s="8" t="s">
        <v>565</v>
      </c>
      <c r="F173" s="8" t="str">
        <f t="shared" si="2"/>
        <v>WK1</v>
      </c>
      <c r="G173" s="9">
        <v>0</v>
      </c>
      <c r="H173" s="9">
        <v>0</v>
      </c>
      <c r="I173" s="9">
        <v>0</v>
      </c>
      <c r="J173" s="9">
        <v>0</v>
      </c>
      <c r="K173" s="9">
        <v>0</v>
      </c>
      <c r="L173" s="9">
        <v>0</v>
      </c>
      <c r="M173" s="9">
        <v>0</v>
      </c>
      <c r="N173" s="9">
        <v>0.25</v>
      </c>
      <c r="O173" s="9">
        <v>0.5</v>
      </c>
      <c r="P173" s="9">
        <v>1</v>
      </c>
      <c r="Q173" s="9">
        <v>1</v>
      </c>
      <c r="R173" s="9">
        <v>1</v>
      </c>
      <c r="S173" s="9">
        <v>0.75</v>
      </c>
      <c r="T173" s="9">
        <v>0.75</v>
      </c>
      <c r="U173" s="9">
        <v>1</v>
      </c>
      <c r="V173" s="9">
        <v>1</v>
      </c>
      <c r="W173" s="9">
        <v>1</v>
      </c>
      <c r="X173" s="9">
        <v>0.5</v>
      </c>
      <c r="Y173" s="9">
        <v>0.25</v>
      </c>
      <c r="Z173" s="9">
        <v>0</v>
      </c>
      <c r="AA173" s="9">
        <v>0</v>
      </c>
      <c r="AB173" s="9">
        <v>0</v>
      </c>
      <c r="AC173" s="9">
        <v>0</v>
      </c>
      <c r="AD173" s="9">
        <v>0</v>
      </c>
    </row>
    <row r="174" spans="1:30" ht="38.25" hidden="1" x14ac:dyDescent="0.2">
      <c r="A174" s="7">
        <v>1179</v>
      </c>
      <c r="B174" s="8" t="s">
        <v>370</v>
      </c>
      <c r="C174" s="8" t="s">
        <v>314</v>
      </c>
      <c r="D174" s="9">
        <v>0.11244444444444444</v>
      </c>
      <c r="E174" s="8" t="s">
        <v>566</v>
      </c>
      <c r="F174" s="8" t="str">
        <f t="shared" si="2"/>
        <v>WK1</v>
      </c>
      <c r="G174" s="9">
        <v>0</v>
      </c>
      <c r="H174" s="9">
        <v>0</v>
      </c>
      <c r="I174" s="9">
        <v>0</v>
      </c>
      <c r="J174" s="9">
        <v>0</v>
      </c>
      <c r="K174" s="9">
        <v>0</v>
      </c>
      <c r="L174" s="9">
        <v>0</v>
      </c>
      <c r="M174" s="9">
        <v>0</v>
      </c>
      <c r="N174" s="9">
        <v>0.25</v>
      </c>
      <c r="O174" s="9">
        <v>0.5</v>
      </c>
      <c r="P174" s="9">
        <v>1</v>
      </c>
      <c r="Q174" s="9">
        <v>1</v>
      </c>
      <c r="R174" s="9">
        <v>1</v>
      </c>
      <c r="S174" s="9">
        <v>0.75</v>
      </c>
      <c r="T174" s="9">
        <v>0.75</v>
      </c>
      <c r="U174" s="9">
        <v>1</v>
      </c>
      <c r="V174" s="9">
        <v>1</v>
      </c>
      <c r="W174" s="9">
        <v>1</v>
      </c>
      <c r="X174" s="9">
        <v>0.5</v>
      </c>
      <c r="Y174" s="9">
        <v>0.25</v>
      </c>
      <c r="Z174" s="9">
        <v>0</v>
      </c>
      <c r="AA174" s="9">
        <v>0</v>
      </c>
      <c r="AB174" s="9">
        <v>0</v>
      </c>
      <c r="AC174" s="9">
        <v>0</v>
      </c>
      <c r="AD174" s="9">
        <v>0</v>
      </c>
    </row>
    <row r="175" spans="1:30" ht="51" hidden="1" x14ac:dyDescent="0.2">
      <c r="A175" s="7">
        <v>1180</v>
      </c>
      <c r="B175" s="8" t="s">
        <v>286</v>
      </c>
      <c r="C175" s="8" t="s">
        <v>314</v>
      </c>
      <c r="D175" s="9">
        <v>0.10388888888888888</v>
      </c>
      <c r="E175" s="8" t="s">
        <v>315</v>
      </c>
      <c r="F175" s="8" t="str">
        <f t="shared" si="2"/>
        <v>WK1</v>
      </c>
      <c r="G175" s="9">
        <v>0</v>
      </c>
      <c r="H175" s="9">
        <v>0</v>
      </c>
      <c r="I175" s="9">
        <v>0</v>
      </c>
      <c r="J175" s="9">
        <v>0</v>
      </c>
      <c r="K175" s="9">
        <v>0</v>
      </c>
      <c r="L175" s="9">
        <v>0</v>
      </c>
      <c r="M175" s="9">
        <v>0</v>
      </c>
      <c r="N175" s="9">
        <v>0.25</v>
      </c>
      <c r="O175" s="9">
        <v>0.5</v>
      </c>
      <c r="P175" s="9">
        <v>1</v>
      </c>
      <c r="Q175" s="9">
        <v>1</v>
      </c>
      <c r="R175" s="9">
        <v>1</v>
      </c>
      <c r="S175" s="9">
        <v>0.75</v>
      </c>
      <c r="T175" s="9">
        <v>0.75</v>
      </c>
      <c r="U175" s="9">
        <v>1</v>
      </c>
      <c r="V175" s="9">
        <v>1</v>
      </c>
      <c r="W175" s="9">
        <v>1</v>
      </c>
      <c r="X175" s="9">
        <v>0.5</v>
      </c>
      <c r="Y175" s="9">
        <v>0.25</v>
      </c>
      <c r="Z175" s="9">
        <v>0</v>
      </c>
      <c r="AA175" s="9">
        <v>0</v>
      </c>
      <c r="AB175" s="9">
        <v>0</v>
      </c>
      <c r="AC175" s="9">
        <v>0</v>
      </c>
      <c r="AD175" s="9">
        <v>0</v>
      </c>
    </row>
    <row r="176" spans="1:30" ht="51" hidden="1" x14ac:dyDescent="0.2">
      <c r="A176" s="7">
        <v>1181</v>
      </c>
      <c r="B176" s="8" t="s">
        <v>273</v>
      </c>
      <c r="C176" s="8" t="s">
        <v>314</v>
      </c>
      <c r="D176" s="9">
        <v>0.18333333333333335</v>
      </c>
      <c r="E176" s="8" t="s">
        <v>316</v>
      </c>
      <c r="F176" s="8" t="str">
        <f t="shared" si="2"/>
        <v>WK1</v>
      </c>
      <c r="G176" s="9">
        <v>0</v>
      </c>
      <c r="H176" s="9">
        <v>0</v>
      </c>
      <c r="I176" s="9">
        <v>0</v>
      </c>
      <c r="J176" s="9">
        <v>0</v>
      </c>
      <c r="K176" s="9">
        <v>0</v>
      </c>
      <c r="L176" s="9">
        <v>0</v>
      </c>
      <c r="M176" s="9">
        <v>0</v>
      </c>
      <c r="N176" s="9">
        <v>0</v>
      </c>
      <c r="O176" s="9">
        <v>0</v>
      </c>
      <c r="P176" s="9">
        <v>0</v>
      </c>
      <c r="Q176" s="9">
        <v>0</v>
      </c>
      <c r="R176" s="9">
        <v>0.25</v>
      </c>
      <c r="S176" s="9">
        <v>1</v>
      </c>
      <c r="T176" s="9">
        <v>1</v>
      </c>
      <c r="U176" s="9">
        <v>0.75</v>
      </c>
      <c r="V176" s="9">
        <v>0</v>
      </c>
      <c r="W176" s="9">
        <v>0</v>
      </c>
      <c r="X176" s="9">
        <v>0</v>
      </c>
      <c r="Y176" s="9">
        <v>0</v>
      </c>
      <c r="Z176" s="9">
        <v>0</v>
      </c>
      <c r="AA176" s="9">
        <v>0</v>
      </c>
      <c r="AB176" s="9">
        <v>0</v>
      </c>
      <c r="AC176" s="9">
        <v>0</v>
      </c>
      <c r="AD176" s="9">
        <v>0</v>
      </c>
    </row>
    <row r="177" spans="1:30" ht="38.25" hidden="1" x14ac:dyDescent="0.2">
      <c r="A177" s="7">
        <v>1182</v>
      </c>
      <c r="B177" s="8" t="s">
        <v>172</v>
      </c>
      <c r="C177" s="8" t="s">
        <v>314</v>
      </c>
      <c r="D177" s="9">
        <v>0.16250000000000001</v>
      </c>
      <c r="E177" s="8" t="s">
        <v>317</v>
      </c>
      <c r="F177" s="8" t="str">
        <f t="shared" si="2"/>
        <v>WK1</v>
      </c>
      <c r="G177" s="9">
        <v>0</v>
      </c>
      <c r="H177" s="9">
        <v>0</v>
      </c>
      <c r="I177" s="9">
        <v>0</v>
      </c>
      <c r="J177" s="9">
        <v>0</v>
      </c>
      <c r="K177" s="9">
        <v>0</v>
      </c>
      <c r="L177" s="9">
        <v>0</v>
      </c>
      <c r="M177" s="9">
        <v>0</v>
      </c>
      <c r="N177" s="9">
        <v>0</v>
      </c>
      <c r="O177" s="9">
        <v>0</v>
      </c>
      <c r="P177" s="9">
        <v>0.75</v>
      </c>
      <c r="Q177" s="9">
        <v>1</v>
      </c>
      <c r="R177" s="9">
        <v>1</v>
      </c>
      <c r="S177" s="9">
        <v>0.75</v>
      </c>
      <c r="T177" s="9">
        <v>0.75</v>
      </c>
      <c r="U177" s="9">
        <v>1</v>
      </c>
      <c r="V177" s="9">
        <v>1</v>
      </c>
      <c r="W177" s="9">
        <v>1</v>
      </c>
      <c r="X177" s="9">
        <v>0.75</v>
      </c>
      <c r="Y177" s="9">
        <v>0</v>
      </c>
      <c r="Z177" s="9">
        <v>0</v>
      </c>
      <c r="AA177" s="9">
        <v>0</v>
      </c>
      <c r="AB177" s="9">
        <v>0</v>
      </c>
      <c r="AC177" s="9">
        <v>0</v>
      </c>
      <c r="AD177" s="9">
        <v>0</v>
      </c>
    </row>
    <row r="178" spans="1:30" ht="38.25" x14ac:dyDescent="0.2">
      <c r="A178" s="7">
        <v>1183</v>
      </c>
      <c r="B178" s="8" t="s">
        <v>104</v>
      </c>
      <c r="C178" s="8" t="s">
        <v>314</v>
      </c>
      <c r="D178" s="9">
        <v>0.2577777776666666</v>
      </c>
      <c r="E178" s="8" t="s">
        <v>318</v>
      </c>
      <c r="F178" s="8" t="str">
        <f t="shared" si="2"/>
        <v>WK1</v>
      </c>
      <c r="G178" s="9">
        <v>0</v>
      </c>
      <c r="H178" s="9">
        <v>0</v>
      </c>
      <c r="I178" s="9">
        <v>0</v>
      </c>
      <c r="J178" s="9">
        <v>0</v>
      </c>
      <c r="K178" s="9">
        <v>0</v>
      </c>
      <c r="L178" s="9">
        <v>0</v>
      </c>
      <c r="M178" s="9">
        <v>0</v>
      </c>
      <c r="N178" s="9">
        <v>0</v>
      </c>
      <c r="O178" s="9">
        <v>0</v>
      </c>
      <c r="P178" s="9">
        <v>0</v>
      </c>
      <c r="Q178" s="9">
        <v>0</v>
      </c>
      <c r="R178" s="9">
        <v>0.25</v>
      </c>
      <c r="S178" s="9">
        <v>1</v>
      </c>
      <c r="T178" s="9">
        <v>1</v>
      </c>
      <c r="U178" s="9">
        <v>0.75</v>
      </c>
      <c r="V178" s="9">
        <v>0</v>
      </c>
      <c r="W178" s="9">
        <v>0</v>
      </c>
      <c r="X178" s="9">
        <v>0</v>
      </c>
      <c r="Y178" s="9">
        <v>0</v>
      </c>
      <c r="Z178" s="9">
        <v>0</v>
      </c>
      <c r="AA178" s="9">
        <v>0</v>
      </c>
      <c r="AB178" s="9">
        <v>0</v>
      </c>
      <c r="AC178" s="9">
        <v>0</v>
      </c>
      <c r="AD178" s="9">
        <v>0</v>
      </c>
    </row>
    <row r="179" spans="1:30" ht="38.25" hidden="1" x14ac:dyDescent="0.2">
      <c r="A179" s="7">
        <v>1184</v>
      </c>
      <c r="B179" s="8" t="s">
        <v>423</v>
      </c>
      <c r="C179" s="8" t="s">
        <v>314</v>
      </c>
      <c r="D179" s="9">
        <v>0.11</v>
      </c>
      <c r="E179" s="8" t="s">
        <v>567</v>
      </c>
      <c r="F179" s="8" t="str">
        <f t="shared" si="2"/>
        <v>WK1</v>
      </c>
      <c r="G179" s="9">
        <v>0</v>
      </c>
      <c r="H179" s="9">
        <v>0</v>
      </c>
      <c r="I179" s="9">
        <v>0</v>
      </c>
      <c r="J179" s="9">
        <v>0</v>
      </c>
      <c r="K179" s="9">
        <v>0</v>
      </c>
      <c r="L179" s="9">
        <v>0</v>
      </c>
      <c r="M179" s="9">
        <v>0</v>
      </c>
      <c r="N179" s="9">
        <v>0</v>
      </c>
      <c r="O179" s="9">
        <v>0</v>
      </c>
      <c r="P179" s="9">
        <v>0</v>
      </c>
      <c r="Q179" s="9">
        <v>0</v>
      </c>
      <c r="R179" s="9">
        <v>0</v>
      </c>
      <c r="S179" s="9">
        <v>0</v>
      </c>
      <c r="T179" s="9">
        <v>0</v>
      </c>
      <c r="U179" s="9">
        <v>0</v>
      </c>
      <c r="V179" s="9">
        <v>0</v>
      </c>
      <c r="W179" s="9">
        <v>0</v>
      </c>
      <c r="X179" s="9">
        <v>0</v>
      </c>
      <c r="Y179" s="9">
        <v>0</v>
      </c>
      <c r="Z179" s="9">
        <v>0</v>
      </c>
      <c r="AA179" s="9">
        <v>0</v>
      </c>
      <c r="AB179" s="9">
        <v>0</v>
      </c>
      <c r="AC179" s="9">
        <v>0</v>
      </c>
      <c r="AD179" s="9">
        <v>0</v>
      </c>
    </row>
    <row r="180" spans="1:30" ht="38.25" hidden="1" x14ac:dyDescent="0.2">
      <c r="A180" s="7">
        <v>1185</v>
      </c>
      <c r="B180" s="8" t="s">
        <v>274</v>
      </c>
      <c r="C180" s="8" t="s">
        <v>314</v>
      </c>
      <c r="D180" s="9">
        <v>0.14299999999999999</v>
      </c>
      <c r="E180" s="8" t="s">
        <v>319</v>
      </c>
      <c r="F180" s="8" t="str">
        <f t="shared" si="2"/>
        <v>WK1</v>
      </c>
      <c r="G180" s="9">
        <v>0</v>
      </c>
      <c r="H180" s="9">
        <v>0</v>
      </c>
      <c r="I180" s="9">
        <v>0</v>
      </c>
      <c r="J180" s="9">
        <v>0</v>
      </c>
      <c r="K180" s="9">
        <v>0</v>
      </c>
      <c r="L180" s="9">
        <v>0</v>
      </c>
      <c r="M180" s="9">
        <v>0</v>
      </c>
      <c r="N180" s="9">
        <v>0</v>
      </c>
      <c r="O180" s="9">
        <v>1</v>
      </c>
      <c r="P180" s="9">
        <v>1</v>
      </c>
      <c r="Q180" s="9">
        <v>1</v>
      </c>
      <c r="R180" s="9">
        <v>1</v>
      </c>
      <c r="S180" s="9">
        <v>1</v>
      </c>
      <c r="T180" s="9">
        <v>1</v>
      </c>
      <c r="U180" s="9">
        <v>1</v>
      </c>
      <c r="V180" s="9">
        <v>1</v>
      </c>
      <c r="W180" s="9">
        <v>1</v>
      </c>
      <c r="X180" s="9">
        <v>1</v>
      </c>
      <c r="Y180" s="9">
        <v>0</v>
      </c>
      <c r="Z180" s="9">
        <v>0</v>
      </c>
      <c r="AA180" s="9">
        <v>0</v>
      </c>
      <c r="AB180" s="9">
        <v>0</v>
      </c>
      <c r="AC180" s="9">
        <v>0</v>
      </c>
      <c r="AD180" s="9">
        <v>0</v>
      </c>
    </row>
    <row r="181" spans="1:30" ht="38.25" hidden="1" x14ac:dyDescent="0.2">
      <c r="A181" s="7">
        <v>1186</v>
      </c>
      <c r="B181" s="8" t="s">
        <v>425</v>
      </c>
      <c r="C181" s="8" t="s">
        <v>314</v>
      </c>
      <c r="D181" s="9">
        <v>0.12116197183098593</v>
      </c>
      <c r="E181" s="8" t="s">
        <v>75</v>
      </c>
      <c r="F181" s="8" t="str">
        <f t="shared" si="2"/>
        <v>WK1</v>
      </c>
      <c r="G181" s="9">
        <v>0</v>
      </c>
      <c r="H181" s="9">
        <v>0</v>
      </c>
      <c r="I181" s="9">
        <v>0</v>
      </c>
      <c r="J181" s="9">
        <v>0</v>
      </c>
      <c r="K181" s="9">
        <v>0</v>
      </c>
      <c r="L181" s="9">
        <v>0</v>
      </c>
      <c r="M181" s="9">
        <v>0</v>
      </c>
      <c r="N181" s="9">
        <v>0.1</v>
      </c>
      <c r="O181" s="9">
        <v>0.25</v>
      </c>
      <c r="P181" s="9">
        <v>0.75</v>
      </c>
      <c r="Q181" s="9">
        <v>1</v>
      </c>
      <c r="R181" s="9">
        <v>1</v>
      </c>
      <c r="S181" s="9">
        <v>0.5</v>
      </c>
      <c r="T181" s="9">
        <v>0.5</v>
      </c>
      <c r="U181" s="9">
        <v>1</v>
      </c>
      <c r="V181" s="9">
        <v>1</v>
      </c>
      <c r="W181" s="9">
        <v>0.5</v>
      </c>
      <c r="X181" s="9">
        <v>0.5</v>
      </c>
      <c r="Y181" s="9">
        <v>0</v>
      </c>
      <c r="Z181" s="9">
        <v>0</v>
      </c>
      <c r="AA181" s="9">
        <v>0</v>
      </c>
      <c r="AB181" s="9">
        <v>0</v>
      </c>
      <c r="AC181" s="9">
        <v>0</v>
      </c>
      <c r="AD181" s="9">
        <v>0</v>
      </c>
    </row>
    <row r="182" spans="1:30" ht="38.25" hidden="1" x14ac:dyDescent="0.2">
      <c r="A182" s="7">
        <v>1187</v>
      </c>
      <c r="B182" s="8" t="s">
        <v>127</v>
      </c>
      <c r="C182" s="8" t="s">
        <v>320</v>
      </c>
      <c r="D182" s="9">
        <v>0.12587301587250002</v>
      </c>
      <c r="E182" s="8" t="s">
        <v>321</v>
      </c>
      <c r="F182" s="8" t="str">
        <f t="shared" si="2"/>
        <v>WK1</v>
      </c>
      <c r="G182" s="9">
        <v>0</v>
      </c>
      <c r="H182" s="9">
        <v>0</v>
      </c>
      <c r="I182" s="9">
        <v>0</v>
      </c>
      <c r="J182" s="9">
        <v>0</v>
      </c>
      <c r="K182" s="9">
        <v>0</v>
      </c>
      <c r="L182" s="9">
        <v>0</v>
      </c>
      <c r="M182" s="9">
        <v>0</v>
      </c>
      <c r="N182" s="9">
        <v>0</v>
      </c>
      <c r="O182" s="9">
        <v>0</v>
      </c>
      <c r="P182" s="9">
        <v>1</v>
      </c>
      <c r="Q182" s="9">
        <v>1</v>
      </c>
      <c r="R182" s="9">
        <v>1</v>
      </c>
      <c r="S182" s="9">
        <v>1</v>
      </c>
      <c r="T182" s="9">
        <v>1</v>
      </c>
      <c r="U182" s="9">
        <v>1</v>
      </c>
      <c r="V182" s="9">
        <v>1</v>
      </c>
      <c r="W182" s="9">
        <v>1</v>
      </c>
      <c r="X182" s="9">
        <v>1</v>
      </c>
      <c r="Y182" s="9">
        <v>1</v>
      </c>
      <c r="Z182" s="9">
        <v>1</v>
      </c>
      <c r="AA182" s="9">
        <v>1</v>
      </c>
      <c r="AB182" s="9">
        <v>0</v>
      </c>
      <c r="AC182" s="9">
        <v>0</v>
      </c>
      <c r="AD182" s="9">
        <v>0</v>
      </c>
    </row>
    <row r="183" spans="1:30" ht="38.25" hidden="1" x14ac:dyDescent="0.2">
      <c r="A183" s="7">
        <v>1188</v>
      </c>
      <c r="B183" s="8" t="s">
        <v>369</v>
      </c>
      <c r="C183" s="8" t="s">
        <v>320</v>
      </c>
      <c r="D183" s="9">
        <v>0.10083333333333336</v>
      </c>
      <c r="E183" s="8" t="s">
        <v>568</v>
      </c>
      <c r="F183" s="8" t="str">
        <f t="shared" si="2"/>
        <v>WK1</v>
      </c>
      <c r="G183" s="9">
        <v>0</v>
      </c>
      <c r="H183" s="9">
        <v>0</v>
      </c>
      <c r="I183" s="9">
        <v>0</v>
      </c>
      <c r="J183" s="9">
        <v>0</v>
      </c>
      <c r="K183" s="9">
        <v>0</v>
      </c>
      <c r="L183" s="9">
        <v>0</v>
      </c>
      <c r="M183" s="9">
        <v>0</v>
      </c>
      <c r="N183" s="9">
        <v>0</v>
      </c>
      <c r="O183" s="9">
        <v>0</v>
      </c>
      <c r="P183" s="9">
        <v>1</v>
      </c>
      <c r="Q183" s="9">
        <v>1</v>
      </c>
      <c r="R183" s="9">
        <v>1</v>
      </c>
      <c r="S183" s="9">
        <v>1</v>
      </c>
      <c r="T183" s="9">
        <v>1</v>
      </c>
      <c r="U183" s="9">
        <v>1</v>
      </c>
      <c r="V183" s="9">
        <v>1</v>
      </c>
      <c r="W183" s="9">
        <v>1</v>
      </c>
      <c r="X183" s="9">
        <v>1</v>
      </c>
      <c r="Y183" s="9">
        <v>1</v>
      </c>
      <c r="Z183" s="9">
        <v>1</v>
      </c>
      <c r="AA183" s="9">
        <v>1</v>
      </c>
      <c r="AB183" s="9">
        <v>0</v>
      </c>
      <c r="AC183" s="9">
        <v>0</v>
      </c>
      <c r="AD183" s="9">
        <v>0</v>
      </c>
    </row>
    <row r="184" spans="1:30" ht="38.25" hidden="1" x14ac:dyDescent="0.2">
      <c r="A184" s="7">
        <v>1189</v>
      </c>
      <c r="B184" s="8" t="s">
        <v>367</v>
      </c>
      <c r="C184" s="8" t="s">
        <v>320</v>
      </c>
      <c r="D184" s="9">
        <v>4.6710526315131569E-2</v>
      </c>
      <c r="E184" s="8" t="s">
        <v>322</v>
      </c>
      <c r="F184" s="8" t="str">
        <f t="shared" si="2"/>
        <v>WK1</v>
      </c>
      <c r="G184" s="9">
        <v>0</v>
      </c>
      <c r="H184" s="9">
        <v>0</v>
      </c>
      <c r="I184" s="9">
        <v>0</v>
      </c>
      <c r="J184" s="9">
        <v>0</v>
      </c>
      <c r="K184" s="9">
        <v>0</v>
      </c>
      <c r="L184" s="9">
        <v>0</v>
      </c>
      <c r="M184" s="9">
        <v>0</v>
      </c>
      <c r="N184" s="9">
        <v>0</v>
      </c>
      <c r="O184" s="9">
        <v>0</v>
      </c>
      <c r="P184" s="9">
        <v>1</v>
      </c>
      <c r="Q184" s="9">
        <v>1</v>
      </c>
      <c r="R184" s="9">
        <v>1</v>
      </c>
      <c r="S184" s="9">
        <v>1</v>
      </c>
      <c r="T184" s="9">
        <v>1</v>
      </c>
      <c r="U184" s="9">
        <v>1</v>
      </c>
      <c r="V184" s="9">
        <v>1</v>
      </c>
      <c r="W184" s="9">
        <v>1</v>
      </c>
      <c r="X184" s="9">
        <v>1</v>
      </c>
      <c r="Y184" s="9">
        <v>1</v>
      </c>
      <c r="Z184" s="9">
        <v>1</v>
      </c>
      <c r="AA184" s="9">
        <v>1</v>
      </c>
      <c r="AB184" s="9">
        <v>0</v>
      </c>
      <c r="AC184" s="9">
        <v>0</v>
      </c>
      <c r="AD184" s="9">
        <v>0</v>
      </c>
    </row>
    <row r="185" spans="1:30" ht="38.25" x14ac:dyDescent="0.2">
      <c r="A185" s="7">
        <v>1190</v>
      </c>
      <c r="B185" s="8" t="s">
        <v>104</v>
      </c>
      <c r="C185" s="8" t="s">
        <v>320</v>
      </c>
      <c r="D185" s="9">
        <v>0.21830508462711862</v>
      </c>
      <c r="E185" s="8" t="s">
        <v>323</v>
      </c>
      <c r="F185" s="8" t="str">
        <f t="shared" si="2"/>
        <v>WK1</v>
      </c>
      <c r="G185" s="9">
        <v>0</v>
      </c>
      <c r="H185" s="9">
        <v>0</v>
      </c>
      <c r="I185" s="9">
        <v>0</v>
      </c>
      <c r="J185" s="9">
        <v>0</v>
      </c>
      <c r="K185" s="9">
        <v>0</v>
      </c>
      <c r="L185" s="9">
        <v>0</v>
      </c>
      <c r="M185" s="9">
        <v>0</v>
      </c>
      <c r="N185" s="9">
        <v>0</v>
      </c>
      <c r="O185" s="9">
        <v>0</v>
      </c>
      <c r="P185" s="9">
        <v>0</v>
      </c>
      <c r="Q185" s="9">
        <v>0</v>
      </c>
      <c r="R185" s="9">
        <v>0.25</v>
      </c>
      <c r="S185" s="9">
        <v>1</v>
      </c>
      <c r="T185" s="9">
        <v>1</v>
      </c>
      <c r="U185" s="9">
        <v>0.75</v>
      </c>
      <c r="V185" s="9">
        <v>0</v>
      </c>
      <c r="W185" s="9">
        <v>0</v>
      </c>
      <c r="X185" s="9">
        <v>0</v>
      </c>
      <c r="Y185" s="9">
        <v>0</v>
      </c>
      <c r="Z185" s="9">
        <v>0</v>
      </c>
      <c r="AA185" s="9">
        <v>0</v>
      </c>
      <c r="AB185" s="9">
        <v>0</v>
      </c>
      <c r="AC185" s="9">
        <v>0</v>
      </c>
      <c r="AD185" s="9">
        <v>0</v>
      </c>
    </row>
    <row r="186" spans="1:30" ht="38.25" hidden="1" x14ac:dyDescent="0.2">
      <c r="A186" s="7">
        <v>1191</v>
      </c>
      <c r="B186" s="8" t="s">
        <v>86</v>
      </c>
      <c r="C186" s="8" t="s">
        <v>320</v>
      </c>
      <c r="D186" s="9">
        <v>0.13222222224583333</v>
      </c>
      <c r="E186" s="8" t="s">
        <v>324</v>
      </c>
      <c r="F186" s="8" t="str">
        <f t="shared" si="2"/>
        <v>Wk1</v>
      </c>
      <c r="G186" s="9">
        <v>0</v>
      </c>
      <c r="H186" s="9">
        <v>0</v>
      </c>
      <c r="I186" s="9">
        <v>0</v>
      </c>
      <c r="J186" s="9">
        <v>0</v>
      </c>
      <c r="K186" s="9">
        <v>0</v>
      </c>
      <c r="L186" s="9">
        <v>0</v>
      </c>
      <c r="M186" s="9">
        <v>0</v>
      </c>
      <c r="N186" s="9">
        <v>0</v>
      </c>
      <c r="O186" s="9">
        <v>0</v>
      </c>
      <c r="P186" s="9">
        <v>1</v>
      </c>
      <c r="Q186" s="9">
        <v>1</v>
      </c>
      <c r="R186" s="9">
        <v>1</v>
      </c>
      <c r="S186" s="9">
        <v>1</v>
      </c>
      <c r="T186" s="9">
        <v>1</v>
      </c>
      <c r="U186" s="9">
        <v>1</v>
      </c>
      <c r="V186" s="9">
        <v>1</v>
      </c>
      <c r="W186" s="9">
        <v>1</v>
      </c>
      <c r="X186" s="9">
        <v>1</v>
      </c>
      <c r="Y186" s="9">
        <v>1</v>
      </c>
      <c r="Z186" s="9">
        <v>1</v>
      </c>
      <c r="AA186" s="9">
        <v>1</v>
      </c>
      <c r="AB186" s="9">
        <v>0</v>
      </c>
      <c r="AC186" s="9">
        <v>0</v>
      </c>
      <c r="AD186" s="9">
        <v>0</v>
      </c>
    </row>
    <row r="187" spans="1:30" ht="38.25" hidden="1" x14ac:dyDescent="0.2">
      <c r="A187" s="7">
        <v>1192</v>
      </c>
      <c r="B187" s="8" t="s">
        <v>85</v>
      </c>
      <c r="C187" s="8" t="s">
        <v>320</v>
      </c>
      <c r="D187" s="9">
        <v>0.17</v>
      </c>
      <c r="E187" s="8" t="s">
        <v>325</v>
      </c>
      <c r="F187" s="8" t="str">
        <f t="shared" si="2"/>
        <v>Wk1</v>
      </c>
      <c r="G187" s="9">
        <v>0</v>
      </c>
      <c r="H187" s="9">
        <v>0</v>
      </c>
      <c r="I187" s="9">
        <v>0</v>
      </c>
      <c r="J187" s="9">
        <v>0</v>
      </c>
      <c r="K187" s="9">
        <v>0</v>
      </c>
      <c r="L187" s="9">
        <v>0</v>
      </c>
      <c r="M187" s="9">
        <v>0.25</v>
      </c>
      <c r="N187" s="9">
        <v>1</v>
      </c>
      <c r="O187" s="9">
        <v>1</v>
      </c>
      <c r="P187" s="9">
        <v>0.25</v>
      </c>
      <c r="Q187" s="9">
        <v>0</v>
      </c>
      <c r="R187" s="9">
        <v>0.25</v>
      </c>
      <c r="S187" s="9">
        <v>1</v>
      </c>
      <c r="T187" s="9">
        <v>1</v>
      </c>
      <c r="U187" s="9">
        <v>0.5</v>
      </c>
      <c r="V187" s="9">
        <v>0</v>
      </c>
      <c r="W187" s="9">
        <v>0</v>
      </c>
      <c r="X187" s="9">
        <v>0.5</v>
      </c>
      <c r="Y187" s="9">
        <v>1</v>
      </c>
      <c r="Z187" s="9">
        <v>1</v>
      </c>
      <c r="AA187" s="9">
        <v>0.5</v>
      </c>
      <c r="AB187" s="9">
        <v>0</v>
      </c>
      <c r="AC187" s="9">
        <v>0</v>
      </c>
      <c r="AD187" s="9">
        <v>0</v>
      </c>
    </row>
    <row r="188" spans="1:30" ht="38.25" hidden="1" x14ac:dyDescent="0.2">
      <c r="A188" s="7">
        <v>1193</v>
      </c>
      <c r="B188" s="8" t="s">
        <v>273</v>
      </c>
      <c r="C188" s="8" t="s">
        <v>320</v>
      </c>
      <c r="D188" s="9">
        <v>0.13050847448491526</v>
      </c>
      <c r="E188" s="8" t="s">
        <v>326</v>
      </c>
      <c r="F188" s="8" t="str">
        <f t="shared" si="2"/>
        <v>WK1</v>
      </c>
      <c r="G188" s="9">
        <v>0</v>
      </c>
      <c r="H188" s="9">
        <v>0</v>
      </c>
      <c r="I188" s="9">
        <v>0</v>
      </c>
      <c r="J188" s="9">
        <v>0</v>
      </c>
      <c r="K188" s="9">
        <v>0</v>
      </c>
      <c r="L188" s="9">
        <v>0</v>
      </c>
      <c r="M188" s="9">
        <v>0</v>
      </c>
      <c r="N188" s="9">
        <v>0</v>
      </c>
      <c r="O188" s="9">
        <v>0</v>
      </c>
      <c r="P188" s="9">
        <v>0</v>
      </c>
      <c r="Q188" s="9">
        <v>0</v>
      </c>
      <c r="R188" s="9">
        <v>0.25</v>
      </c>
      <c r="S188" s="9">
        <v>1</v>
      </c>
      <c r="T188" s="9">
        <v>1</v>
      </c>
      <c r="U188" s="9">
        <v>0.75</v>
      </c>
      <c r="V188" s="9">
        <v>0</v>
      </c>
      <c r="W188" s="9">
        <v>0</v>
      </c>
      <c r="X188" s="9">
        <v>0</v>
      </c>
      <c r="Y188" s="9">
        <v>0</v>
      </c>
      <c r="Z188" s="9">
        <v>0</v>
      </c>
      <c r="AA188" s="9">
        <v>0</v>
      </c>
      <c r="AB188" s="9">
        <v>0</v>
      </c>
      <c r="AC188" s="9">
        <v>0</v>
      </c>
      <c r="AD188" s="9">
        <v>0</v>
      </c>
    </row>
    <row r="189" spans="1:30" ht="38.25" hidden="1" x14ac:dyDescent="0.2">
      <c r="A189" s="7">
        <v>1194</v>
      </c>
      <c r="B189" s="8" t="s">
        <v>172</v>
      </c>
      <c r="C189" s="8" t="s">
        <v>320</v>
      </c>
      <c r="D189" s="9">
        <v>0.17499999999999999</v>
      </c>
      <c r="E189" s="8" t="s">
        <v>327</v>
      </c>
      <c r="F189" s="8" t="str">
        <f t="shared" si="2"/>
        <v>WK1</v>
      </c>
      <c r="G189" s="9">
        <v>0</v>
      </c>
      <c r="H189" s="9">
        <v>0</v>
      </c>
      <c r="I189" s="9">
        <v>0</v>
      </c>
      <c r="J189" s="9">
        <v>0</v>
      </c>
      <c r="K189" s="9">
        <v>0</v>
      </c>
      <c r="L189" s="9">
        <v>0</v>
      </c>
      <c r="M189" s="9">
        <v>0</v>
      </c>
      <c r="N189" s="9">
        <v>0</v>
      </c>
      <c r="O189" s="9">
        <v>0</v>
      </c>
      <c r="P189" s="9">
        <v>0.75</v>
      </c>
      <c r="Q189" s="9">
        <v>1</v>
      </c>
      <c r="R189" s="9">
        <v>1</v>
      </c>
      <c r="S189" s="9">
        <v>0.75</v>
      </c>
      <c r="T189" s="9">
        <v>0.75</v>
      </c>
      <c r="U189" s="9">
        <v>1</v>
      </c>
      <c r="V189" s="9">
        <v>1</v>
      </c>
      <c r="W189" s="9">
        <v>1</v>
      </c>
      <c r="X189" s="9">
        <v>0.75</v>
      </c>
      <c r="Y189" s="9">
        <v>0</v>
      </c>
      <c r="Z189" s="9">
        <v>0</v>
      </c>
      <c r="AA189" s="9">
        <v>0</v>
      </c>
      <c r="AB189" s="9">
        <v>0</v>
      </c>
      <c r="AC189" s="9">
        <v>0</v>
      </c>
      <c r="AD189" s="9">
        <v>0</v>
      </c>
    </row>
    <row r="190" spans="1:30" ht="38.25" hidden="1" x14ac:dyDescent="0.2">
      <c r="A190" s="7">
        <v>1195</v>
      </c>
      <c r="B190" s="8" t="s">
        <v>328</v>
      </c>
      <c r="C190" s="8" t="s">
        <v>320</v>
      </c>
      <c r="D190" s="9">
        <v>0.34117647049411759</v>
      </c>
      <c r="E190" s="8" t="s">
        <v>329</v>
      </c>
      <c r="F190" s="8" t="str">
        <f t="shared" si="2"/>
        <v>WK1</v>
      </c>
      <c r="G190" s="9">
        <v>0</v>
      </c>
      <c r="H190" s="9">
        <v>0</v>
      </c>
      <c r="I190" s="9">
        <v>0</v>
      </c>
      <c r="J190" s="9">
        <v>0</v>
      </c>
      <c r="K190" s="9">
        <v>0</v>
      </c>
      <c r="L190" s="9">
        <v>0</v>
      </c>
      <c r="M190" s="9">
        <v>0</v>
      </c>
      <c r="N190" s="9">
        <v>0</v>
      </c>
      <c r="O190" s="9">
        <v>0</v>
      </c>
      <c r="P190" s="9">
        <v>0</v>
      </c>
      <c r="Q190" s="9">
        <v>0</v>
      </c>
      <c r="R190" s="9">
        <v>0</v>
      </c>
      <c r="S190" s="9">
        <v>0</v>
      </c>
      <c r="T190" s="9">
        <v>0</v>
      </c>
      <c r="U190" s="9">
        <v>0</v>
      </c>
      <c r="V190" s="9">
        <v>0</v>
      </c>
      <c r="W190" s="9">
        <v>0.5</v>
      </c>
      <c r="X190" s="9">
        <v>0.5</v>
      </c>
      <c r="Y190" s="9">
        <v>1</v>
      </c>
      <c r="Z190" s="9">
        <v>1</v>
      </c>
      <c r="AA190" s="9">
        <v>1</v>
      </c>
      <c r="AB190" s="9">
        <v>1</v>
      </c>
      <c r="AC190" s="9">
        <v>0.66666666699999999</v>
      </c>
      <c r="AD190" s="9">
        <v>0</v>
      </c>
    </row>
    <row r="191" spans="1:30" ht="38.25" hidden="1" x14ac:dyDescent="0.2">
      <c r="A191" s="7">
        <v>1196</v>
      </c>
      <c r="B191" s="8" t="s">
        <v>91</v>
      </c>
      <c r="C191" s="8" t="s">
        <v>320</v>
      </c>
      <c r="D191" s="9">
        <v>0.22500000000000001</v>
      </c>
      <c r="E191" s="8" t="s">
        <v>330</v>
      </c>
      <c r="F191" s="8" t="str">
        <f t="shared" si="2"/>
        <v>WK1</v>
      </c>
      <c r="G191" s="9">
        <v>0</v>
      </c>
      <c r="H191" s="9">
        <v>0</v>
      </c>
      <c r="I191" s="9">
        <v>0</v>
      </c>
      <c r="J191" s="9">
        <v>0</v>
      </c>
      <c r="K191" s="9">
        <v>0</v>
      </c>
      <c r="L191" s="9">
        <v>0</v>
      </c>
      <c r="M191" s="9">
        <v>0</v>
      </c>
      <c r="N191" s="9">
        <v>0</v>
      </c>
      <c r="O191" s="9">
        <v>0</v>
      </c>
      <c r="P191" s="9">
        <v>0.75</v>
      </c>
      <c r="Q191" s="9">
        <v>1</v>
      </c>
      <c r="R191" s="9">
        <v>1</v>
      </c>
      <c r="S191" s="9">
        <v>0.75</v>
      </c>
      <c r="T191" s="9">
        <v>0.75</v>
      </c>
      <c r="U191" s="9">
        <v>1</v>
      </c>
      <c r="V191" s="9">
        <v>1</v>
      </c>
      <c r="W191" s="9">
        <v>1</v>
      </c>
      <c r="X191" s="9">
        <v>0.75</v>
      </c>
      <c r="Y191" s="9">
        <v>0</v>
      </c>
      <c r="Z191" s="9">
        <v>0</v>
      </c>
      <c r="AA191" s="9">
        <v>0</v>
      </c>
      <c r="AB191" s="9">
        <v>0</v>
      </c>
      <c r="AC191" s="9">
        <v>0</v>
      </c>
      <c r="AD191" s="9">
        <v>0</v>
      </c>
    </row>
    <row r="192" spans="1:30" ht="38.25" hidden="1" x14ac:dyDescent="0.2">
      <c r="A192" s="7">
        <v>1197</v>
      </c>
      <c r="B192" s="8" t="s">
        <v>275</v>
      </c>
      <c r="C192" s="8" t="s">
        <v>320</v>
      </c>
      <c r="D192" s="9">
        <v>9.6250000000000002E-2</v>
      </c>
      <c r="E192" s="8" t="s">
        <v>331</v>
      </c>
      <c r="F192" s="8" t="str">
        <f t="shared" si="2"/>
        <v>Wk1</v>
      </c>
      <c r="G192" s="9">
        <v>0</v>
      </c>
      <c r="H192" s="9">
        <v>0</v>
      </c>
      <c r="I192" s="9">
        <v>0</v>
      </c>
      <c r="J192" s="9">
        <v>0</v>
      </c>
      <c r="K192" s="9">
        <v>0</v>
      </c>
      <c r="L192" s="9">
        <v>0</v>
      </c>
      <c r="M192" s="9">
        <v>0</v>
      </c>
      <c r="N192" s="9">
        <v>0</v>
      </c>
      <c r="O192" s="9">
        <v>0</v>
      </c>
      <c r="P192" s="9">
        <v>1</v>
      </c>
      <c r="Q192" s="9">
        <v>1</v>
      </c>
      <c r="R192" s="9">
        <v>1</v>
      </c>
      <c r="S192" s="9">
        <v>1</v>
      </c>
      <c r="T192" s="9">
        <v>1</v>
      </c>
      <c r="U192" s="9">
        <v>1</v>
      </c>
      <c r="V192" s="9">
        <v>1</v>
      </c>
      <c r="W192" s="9">
        <v>1</v>
      </c>
      <c r="X192" s="9">
        <v>0</v>
      </c>
      <c r="Y192" s="9">
        <v>0</v>
      </c>
      <c r="Z192" s="9">
        <v>0</v>
      </c>
      <c r="AA192" s="9">
        <v>0</v>
      </c>
      <c r="AB192" s="9">
        <v>0</v>
      </c>
      <c r="AC192" s="9">
        <v>0</v>
      </c>
      <c r="AD192" s="9">
        <v>0</v>
      </c>
    </row>
    <row r="193" spans="1:30" ht="38.25" hidden="1" x14ac:dyDescent="0.2">
      <c r="A193" s="7">
        <v>1198</v>
      </c>
      <c r="B193" s="8" t="s">
        <v>173</v>
      </c>
      <c r="C193" s="8" t="s">
        <v>320</v>
      </c>
      <c r="D193" s="9">
        <v>4.9411764705882349E-2</v>
      </c>
      <c r="E193" s="8" t="s">
        <v>332</v>
      </c>
      <c r="F193" s="8" t="str">
        <f t="shared" si="2"/>
        <v>WK1</v>
      </c>
      <c r="G193" s="9">
        <v>0</v>
      </c>
      <c r="H193" s="9">
        <v>0</v>
      </c>
      <c r="I193" s="9">
        <v>0</v>
      </c>
      <c r="J193" s="9">
        <v>0</v>
      </c>
      <c r="K193" s="9">
        <v>0</v>
      </c>
      <c r="L193" s="9">
        <v>0</v>
      </c>
      <c r="M193" s="9">
        <v>0</v>
      </c>
      <c r="N193" s="9">
        <v>0</v>
      </c>
      <c r="O193" s="9">
        <v>0</v>
      </c>
      <c r="P193" s="9">
        <v>0</v>
      </c>
      <c r="Q193" s="9">
        <v>0</v>
      </c>
      <c r="R193" s="9">
        <v>0</v>
      </c>
      <c r="S193" s="9">
        <v>0</v>
      </c>
      <c r="T193" s="9">
        <v>0</v>
      </c>
      <c r="U193" s="9">
        <v>0</v>
      </c>
      <c r="V193" s="9">
        <v>0</v>
      </c>
      <c r="W193" s="9">
        <v>0.5</v>
      </c>
      <c r="X193" s="9">
        <v>0.5</v>
      </c>
      <c r="Y193" s="9">
        <v>1</v>
      </c>
      <c r="Z193" s="9">
        <v>1</v>
      </c>
      <c r="AA193" s="9">
        <v>1</v>
      </c>
      <c r="AB193" s="9">
        <v>1</v>
      </c>
      <c r="AC193" s="9">
        <v>0.66666666699999999</v>
      </c>
      <c r="AD193" s="9">
        <v>0</v>
      </c>
    </row>
    <row r="194" spans="1:30" ht="38.25" hidden="1" x14ac:dyDescent="0.2">
      <c r="A194" s="7">
        <v>1199</v>
      </c>
      <c r="B194" s="8" t="s">
        <v>423</v>
      </c>
      <c r="C194" s="8" t="s">
        <v>320</v>
      </c>
      <c r="D194" s="9">
        <v>0.11</v>
      </c>
      <c r="E194" s="8" t="s">
        <v>569</v>
      </c>
      <c r="F194" s="8" t="str">
        <f t="shared" si="2"/>
        <v>WK1</v>
      </c>
      <c r="G194" s="9">
        <v>0</v>
      </c>
      <c r="H194" s="9">
        <v>0</v>
      </c>
      <c r="I194" s="9">
        <v>0</v>
      </c>
      <c r="J194" s="9">
        <v>0</v>
      </c>
      <c r="K194" s="9">
        <v>0</v>
      </c>
      <c r="L194" s="9">
        <v>0</v>
      </c>
      <c r="M194" s="9">
        <v>0</v>
      </c>
      <c r="N194" s="9">
        <v>0</v>
      </c>
      <c r="O194" s="9">
        <v>0</v>
      </c>
      <c r="P194" s="9">
        <v>0</v>
      </c>
      <c r="Q194" s="9">
        <v>0</v>
      </c>
      <c r="R194" s="9">
        <v>0</v>
      </c>
      <c r="S194" s="9">
        <v>0</v>
      </c>
      <c r="T194" s="9">
        <v>0</v>
      </c>
      <c r="U194" s="9">
        <v>0</v>
      </c>
      <c r="V194" s="9">
        <v>0</v>
      </c>
      <c r="W194" s="9">
        <v>0</v>
      </c>
      <c r="X194" s="9">
        <v>0</v>
      </c>
      <c r="Y194" s="9">
        <v>0</v>
      </c>
      <c r="Z194" s="9">
        <v>0</v>
      </c>
      <c r="AA194" s="9">
        <v>0</v>
      </c>
      <c r="AB194" s="9">
        <v>0</v>
      </c>
      <c r="AC194" s="9">
        <v>0</v>
      </c>
      <c r="AD194" s="9">
        <v>0</v>
      </c>
    </row>
    <row r="195" spans="1:30" ht="51" hidden="1" x14ac:dyDescent="0.2">
      <c r="A195" s="7">
        <v>1200</v>
      </c>
      <c r="B195" s="8" t="s">
        <v>375</v>
      </c>
      <c r="C195" s="8" t="s">
        <v>320</v>
      </c>
      <c r="D195" s="9">
        <v>0.24117647058151262</v>
      </c>
      <c r="E195" s="8" t="s">
        <v>570</v>
      </c>
      <c r="F195" s="8" t="str">
        <f t="shared" si="2"/>
        <v>Wk1</v>
      </c>
      <c r="G195" s="9">
        <v>0</v>
      </c>
      <c r="H195" s="9">
        <v>0</v>
      </c>
      <c r="I195" s="9">
        <v>0</v>
      </c>
      <c r="J195" s="9">
        <v>0</v>
      </c>
      <c r="K195" s="9">
        <v>0</v>
      </c>
      <c r="L195" s="9">
        <v>0</v>
      </c>
      <c r="M195" s="9">
        <v>0</v>
      </c>
      <c r="N195" s="9">
        <v>0</v>
      </c>
      <c r="O195" s="9">
        <v>0</v>
      </c>
      <c r="P195" s="9">
        <v>0</v>
      </c>
      <c r="Q195" s="9">
        <v>0</v>
      </c>
      <c r="R195" s="9">
        <v>0</v>
      </c>
      <c r="S195" s="9">
        <v>0</v>
      </c>
      <c r="T195" s="9">
        <v>0</v>
      </c>
      <c r="U195" s="9">
        <v>0</v>
      </c>
      <c r="V195" s="9">
        <v>0</v>
      </c>
      <c r="W195" s="9">
        <v>0.5</v>
      </c>
      <c r="X195" s="9">
        <v>0.5</v>
      </c>
      <c r="Y195" s="9">
        <v>1</v>
      </c>
      <c r="Z195" s="9">
        <v>1</v>
      </c>
      <c r="AA195" s="9">
        <v>1</v>
      </c>
      <c r="AB195" s="9">
        <v>1</v>
      </c>
      <c r="AC195" s="9">
        <v>0.66666666699999999</v>
      </c>
      <c r="AD195" s="9">
        <v>0</v>
      </c>
    </row>
    <row r="196" spans="1:30" ht="38.25" hidden="1" x14ac:dyDescent="0.2">
      <c r="A196" s="7">
        <v>1201</v>
      </c>
      <c r="B196" s="8" t="s">
        <v>286</v>
      </c>
      <c r="C196" s="8" t="s">
        <v>320</v>
      </c>
      <c r="D196" s="9">
        <v>0.12558333332875005</v>
      </c>
      <c r="E196" s="8" t="s">
        <v>333</v>
      </c>
      <c r="F196" s="8" t="str">
        <f t="shared" si="2"/>
        <v>WK1</v>
      </c>
      <c r="G196" s="9">
        <v>0</v>
      </c>
      <c r="H196" s="9">
        <v>0</v>
      </c>
      <c r="I196" s="9">
        <v>0</v>
      </c>
      <c r="J196" s="9">
        <v>0</v>
      </c>
      <c r="K196" s="9">
        <v>0</v>
      </c>
      <c r="L196" s="9">
        <v>0</v>
      </c>
      <c r="M196" s="9">
        <v>0</v>
      </c>
      <c r="N196" s="9">
        <v>0</v>
      </c>
      <c r="O196" s="9">
        <v>0</v>
      </c>
      <c r="P196" s="9">
        <v>0.75</v>
      </c>
      <c r="Q196" s="9">
        <v>1</v>
      </c>
      <c r="R196" s="9">
        <v>1</v>
      </c>
      <c r="S196" s="9">
        <v>0.75</v>
      </c>
      <c r="T196" s="9">
        <v>0.75</v>
      </c>
      <c r="U196" s="9">
        <v>1</v>
      </c>
      <c r="V196" s="9">
        <v>1</v>
      </c>
      <c r="W196" s="9">
        <v>1</v>
      </c>
      <c r="X196" s="9">
        <v>0.75</v>
      </c>
      <c r="Y196" s="9">
        <v>0</v>
      </c>
      <c r="Z196" s="9">
        <v>0</v>
      </c>
      <c r="AA196" s="9">
        <v>0</v>
      </c>
      <c r="AB196" s="9">
        <v>0</v>
      </c>
      <c r="AC196" s="9">
        <v>0</v>
      </c>
      <c r="AD196" s="9">
        <v>0</v>
      </c>
    </row>
    <row r="197" spans="1:30" ht="38.25" hidden="1" x14ac:dyDescent="0.2">
      <c r="A197" s="7">
        <v>1202</v>
      </c>
      <c r="B197" s="8" t="s">
        <v>571</v>
      </c>
      <c r="C197" s="8" t="s">
        <v>320</v>
      </c>
      <c r="D197" s="9">
        <v>0.10225352112676059</v>
      </c>
      <c r="E197" s="8" t="s">
        <v>334</v>
      </c>
      <c r="F197" s="8" t="str">
        <f t="shared" si="2"/>
        <v>WK1</v>
      </c>
      <c r="G197" s="9">
        <v>0</v>
      </c>
      <c r="H197" s="9">
        <v>0</v>
      </c>
      <c r="I197" s="9">
        <v>0</v>
      </c>
      <c r="J197" s="9">
        <v>0</v>
      </c>
      <c r="K197" s="9">
        <v>0</v>
      </c>
      <c r="L197" s="9">
        <v>0</v>
      </c>
      <c r="M197" s="9">
        <v>0</v>
      </c>
      <c r="N197" s="9">
        <v>0.1</v>
      </c>
      <c r="O197" s="9">
        <v>0.25</v>
      </c>
      <c r="P197" s="9">
        <v>0.75</v>
      </c>
      <c r="Q197" s="9">
        <v>1</v>
      </c>
      <c r="R197" s="9">
        <v>1</v>
      </c>
      <c r="S197" s="9">
        <v>0.5</v>
      </c>
      <c r="T197" s="9">
        <v>0.5</v>
      </c>
      <c r="U197" s="9">
        <v>1</v>
      </c>
      <c r="V197" s="9">
        <v>1</v>
      </c>
      <c r="W197" s="9">
        <v>0.5</v>
      </c>
      <c r="X197" s="9">
        <v>0.5</v>
      </c>
      <c r="Y197" s="9">
        <v>0</v>
      </c>
      <c r="Z197" s="9">
        <v>0</v>
      </c>
      <c r="AA197" s="9">
        <v>0</v>
      </c>
      <c r="AB197" s="9">
        <v>0</v>
      </c>
      <c r="AC197" s="9">
        <v>0</v>
      </c>
      <c r="AD197" s="9">
        <v>0</v>
      </c>
    </row>
    <row r="198" spans="1:30" ht="38.25" hidden="1" x14ac:dyDescent="0.2">
      <c r="A198" s="7">
        <v>1203</v>
      </c>
      <c r="B198" s="8" t="s">
        <v>418</v>
      </c>
      <c r="C198" s="8" t="s">
        <v>320</v>
      </c>
      <c r="D198" s="9">
        <v>0.11</v>
      </c>
      <c r="E198" s="8" t="s">
        <v>572</v>
      </c>
      <c r="F198" s="8" t="str">
        <f t="shared" si="2"/>
        <v>WK1</v>
      </c>
      <c r="G198" s="9">
        <v>0</v>
      </c>
      <c r="H198" s="9">
        <v>0</v>
      </c>
      <c r="I198" s="9">
        <v>0</v>
      </c>
      <c r="J198" s="9">
        <v>0</v>
      </c>
      <c r="K198" s="9">
        <v>0</v>
      </c>
      <c r="L198" s="9">
        <v>0</v>
      </c>
      <c r="M198" s="9">
        <v>0</v>
      </c>
      <c r="N198" s="9">
        <v>1</v>
      </c>
      <c r="O198" s="9">
        <v>1</v>
      </c>
      <c r="P198" s="9">
        <v>1</v>
      </c>
      <c r="Q198" s="9">
        <v>1</v>
      </c>
      <c r="R198" s="9">
        <v>1</v>
      </c>
      <c r="S198" s="9">
        <v>1</v>
      </c>
      <c r="T198" s="9">
        <v>1</v>
      </c>
      <c r="U198" s="9">
        <v>1</v>
      </c>
      <c r="V198" s="9">
        <v>1</v>
      </c>
      <c r="W198" s="9">
        <v>1</v>
      </c>
      <c r="X198" s="9">
        <v>1</v>
      </c>
      <c r="Y198" s="9">
        <v>1</v>
      </c>
      <c r="Z198" s="9">
        <v>1</v>
      </c>
      <c r="AA198" s="9">
        <v>0</v>
      </c>
      <c r="AB198" s="9">
        <v>0</v>
      </c>
      <c r="AC198" s="9">
        <v>0</v>
      </c>
      <c r="AD198" s="9">
        <v>0</v>
      </c>
    </row>
    <row r="199" spans="1:30" ht="38.25" hidden="1" x14ac:dyDescent="0.2">
      <c r="A199" s="7">
        <v>1204</v>
      </c>
      <c r="B199" s="8" t="s">
        <v>366</v>
      </c>
      <c r="C199" s="8" t="s">
        <v>320</v>
      </c>
      <c r="D199" s="9">
        <v>0.16305341055297301</v>
      </c>
      <c r="E199" s="8" t="s">
        <v>335</v>
      </c>
      <c r="F199" s="8" t="str">
        <f t="shared" si="2"/>
        <v>WK1</v>
      </c>
      <c r="G199" s="9">
        <v>0</v>
      </c>
      <c r="H199" s="9">
        <v>0</v>
      </c>
      <c r="I199" s="9">
        <v>0</v>
      </c>
      <c r="J199" s="9">
        <v>0</v>
      </c>
      <c r="K199" s="9">
        <v>0</v>
      </c>
      <c r="L199" s="9">
        <v>0</v>
      </c>
      <c r="M199" s="9">
        <v>0</v>
      </c>
      <c r="N199" s="9">
        <v>0</v>
      </c>
      <c r="O199" s="9">
        <v>0</v>
      </c>
      <c r="P199" s="9">
        <v>1</v>
      </c>
      <c r="Q199" s="9">
        <v>1</v>
      </c>
      <c r="R199" s="9">
        <v>1</v>
      </c>
      <c r="S199" s="9">
        <v>1</v>
      </c>
      <c r="T199" s="9">
        <v>1</v>
      </c>
      <c r="U199" s="9">
        <v>1</v>
      </c>
      <c r="V199" s="9">
        <v>1</v>
      </c>
      <c r="W199" s="9">
        <v>1</v>
      </c>
      <c r="X199" s="9">
        <v>1</v>
      </c>
      <c r="Y199" s="9">
        <v>1</v>
      </c>
      <c r="Z199" s="9">
        <v>1</v>
      </c>
      <c r="AA199" s="9">
        <v>1</v>
      </c>
      <c r="AB199" s="9">
        <v>0</v>
      </c>
      <c r="AC199" s="9">
        <v>0</v>
      </c>
      <c r="AD199" s="9">
        <v>0</v>
      </c>
    </row>
    <row r="200" spans="1:30" ht="38.25" hidden="1" x14ac:dyDescent="0.2">
      <c r="A200" s="9">
        <v>1204</v>
      </c>
      <c r="B200" s="8" t="s">
        <v>366</v>
      </c>
      <c r="C200" s="8" t="s">
        <v>320</v>
      </c>
      <c r="D200" s="9">
        <v>0.16305341055297301</v>
      </c>
      <c r="E200" s="8" t="s">
        <v>573</v>
      </c>
      <c r="F200" s="8" t="str">
        <f t="shared" si="2"/>
        <v>Wk2</v>
      </c>
      <c r="G200" s="9">
        <v>0</v>
      </c>
      <c r="H200" s="9">
        <v>0</v>
      </c>
      <c r="I200" s="9">
        <v>0</v>
      </c>
      <c r="J200" s="9">
        <v>0</v>
      </c>
      <c r="K200" s="9">
        <v>0</v>
      </c>
      <c r="L200" s="9">
        <v>0</v>
      </c>
      <c r="M200" s="9">
        <v>0</v>
      </c>
      <c r="N200" s="9">
        <v>1</v>
      </c>
      <c r="O200" s="9">
        <v>1</v>
      </c>
      <c r="P200" s="9">
        <v>1</v>
      </c>
      <c r="Q200" s="9">
        <v>1</v>
      </c>
      <c r="R200" s="9">
        <v>1</v>
      </c>
      <c r="S200" s="9">
        <v>1</v>
      </c>
      <c r="T200" s="9">
        <v>1</v>
      </c>
      <c r="U200" s="9">
        <v>1</v>
      </c>
      <c r="V200" s="9">
        <v>1</v>
      </c>
      <c r="W200" s="9">
        <v>1</v>
      </c>
      <c r="X200" s="9">
        <v>1</v>
      </c>
      <c r="Y200" s="9">
        <v>1</v>
      </c>
      <c r="Z200" s="9">
        <v>1</v>
      </c>
      <c r="AA200" s="9">
        <v>0</v>
      </c>
      <c r="AB200" s="9">
        <v>0</v>
      </c>
      <c r="AC200" s="9">
        <v>0</v>
      </c>
      <c r="AD200" s="9">
        <v>0</v>
      </c>
    </row>
    <row r="201" spans="1:30" ht="38.25" hidden="1" x14ac:dyDescent="0.2">
      <c r="A201" s="7">
        <v>1205</v>
      </c>
      <c r="B201" s="8" t="s">
        <v>370</v>
      </c>
      <c r="C201" s="8" t="s">
        <v>320</v>
      </c>
      <c r="D201" s="9">
        <v>0.10083333333333336</v>
      </c>
      <c r="E201" s="8" t="s">
        <v>574</v>
      </c>
      <c r="F201" s="8" t="str">
        <f t="shared" si="2"/>
        <v>WK1</v>
      </c>
      <c r="G201" s="9">
        <v>0</v>
      </c>
      <c r="H201" s="9">
        <v>0</v>
      </c>
      <c r="I201" s="9">
        <v>0</v>
      </c>
      <c r="J201" s="9">
        <v>0</v>
      </c>
      <c r="K201" s="9">
        <v>0</v>
      </c>
      <c r="L201" s="9">
        <v>0</v>
      </c>
      <c r="M201" s="9">
        <v>0</v>
      </c>
      <c r="N201" s="9">
        <v>0</v>
      </c>
      <c r="O201" s="9">
        <v>0</v>
      </c>
      <c r="P201" s="9">
        <v>1</v>
      </c>
      <c r="Q201" s="9">
        <v>1</v>
      </c>
      <c r="R201" s="9">
        <v>1</v>
      </c>
      <c r="S201" s="9">
        <v>1</v>
      </c>
      <c r="T201" s="9">
        <v>1</v>
      </c>
      <c r="U201" s="9">
        <v>1</v>
      </c>
      <c r="V201" s="9">
        <v>1</v>
      </c>
      <c r="W201" s="9">
        <v>1</v>
      </c>
      <c r="X201" s="9">
        <v>1</v>
      </c>
      <c r="Y201" s="9">
        <v>1</v>
      </c>
      <c r="Z201" s="9">
        <v>1</v>
      </c>
      <c r="AA201" s="9">
        <v>1</v>
      </c>
      <c r="AB201" s="9">
        <v>0</v>
      </c>
      <c r="AC201" s="9">
        <v>0</v>
      </c>
      <c r="AD201" s="9">
        <v>0</v>
      </c>
    </row>
    <row r="202" spans="1:30" ht="38.25" hidden="1" x14ac:dyDescent="0.2">
      <c r="A202" s="7">
        <v>1206</v>
      </c>
      <c r="B202" s="8" t="s">
        <v>106</v>
      </c>
      <c r="C202" s="8" t="s">
        <v>320</v>
      </c>
      <c r="D202" s="9">
        <v>6.7083333336250009E-2</v>
      </c>
      <c r="E202" s="8" t="s">
        <v>336</v>
      </c>
      <c r="F202" s="8" t="str">
        <f t="shared" ref="F202:F265" si="3">RIGHT(E202,3)</f>
        <v>WK1</v>
      </c>
      <c r="G202" s="9">
        <v>0</v>
      </c>
      <c r="H202" s="9">
        <v>0</v>
      </c>
      <c r="I202" s="9">
        <v>0</v>
      </c>
      <c r="J202" s="9">
        <v>0</v>
      </c>
      <c r="K202" s="9">
        <v>0</v>
      </c>
      <c r="L202" s="9">
        <v>0</v>
      </c>
      <c r="M202" s="9">
        <v>0</v>
      </c>
      <c r="N202" s="9">
        <v>0</v>
      </c>
      <c r="O202" s="9">
        <v>0</v>
      </c>
      <c r="P202" s="9">
        <v>0.75</v>
      </c>
      <c r="Q202" s="9">
        <v>1</v>
      </c>
      <c r="R202" s="9">
        <v>1</v>
      </c>
      <c r="S202" s="9">
        <v>0.75</v>
      </c>
      <c r="T202" s="9">
        <v>0.75</v>
      </c>
      <c r="U202" s="9">
        <v>1</v>
      </c>
      <c r="V202" s="9">
        <v>1</v>
      </c>
      <c r="W202" s="9">
        <v>1</v>
      </c>
      <c r="X202" s="9">
        <v>0.75</v>
      </c>
      <c r="Y202" s="9">
        <v>0</v>
      </c>
      <c r="Z202" s="9">
        <v>0</v>
      </c>
      <c r="AA202" s="9">
        <v>0</v>
      </c>
      <c r="AB202" s="9">
        <v>0</v>
      </c>
      <c r="AC202" s="9">
        <v>0</v>
      </c>
      <c r="AD202" s="9">
        <v>0</v>
      </c>
    </row>
    <row r="203" spans="1:30" ht="38.25" hidden="1" x14ac:dyDescent="0.2">
      <c r="A203" s="7">
        <v>1207</v>
      </c>
      <c r="B203" s="8" t="s">
        <v>425</v>
      </c>
      <c r="C203" s="8" t="s">
        <v>320</v>
      </c>
      <c r="D203" s="9">
        <v>0.11647183098591547</v>
      </c>
      <c r="E203" s="8" t="s">
        <v>337</v>
      </c>
      <c r="F203" s="8" t="str">
        <f t="shared" si="3"/>
        <v>WK1</v>
      </c>
      <c r="G203" s="9">
        <v>0</v>
      </c>
      <c r="H203" s="9">
        <v>0</v>
      </c>
      <c r="I203" s="9">
        <v>0</v>
      </c>
      <c r="J203" s="9">
        <v>0</v>
      </c>
      <c r="K203" s="9">
        <v>0</v>
      </c>
      <c r="L203" s="9">
        <v>0</v>
      </c>
      <c r="M203" s="9">
        <v>0</v>
      </c>
      <c r="N203" s="9">
        <v>0.1</v>
      </c>
      <c r="O203" s="9">
        <v>0.25</v>
      </c>
      <c r="P203" s="9">
        <v>0.75</v>
      </c>
      <c r="Q203" s="9">
        <v>1</v>
      </c>
      <c r="R203" s="9">
        <v>1</v>
      </c>
      <c r="S203" s="9">
        <v>0.5</v>
      </c>
      <c r="T203" s="9">
        <v>0.5</v>
      </c>
      <c r="U203" s="9">
        <v>1</v>
      </c>
      <c r="V203" s="9">
        <v>1</v>
      </c>
      <c r="W203" s="9">
        <v>0.5</v>
      </c>
      <c r="X203" s="9">
        <v>0.5</v>
      </c>
      <c r="Y203" s="9">
        <v>0</v>
      </c>
      <c r="Z203" s="9">
        <v>0</v>
      </c>
      <c r="AA203" s="9">
        <v>0</v>
      </c>
      <c r="AB203" s="9">
        <v>0</v>
      </c>
      <c r="AC203" s="9">
        <v>0</v>
      </c>
      <c r="AD203" s="9">
        <v>0</v>
      </c>
    </row>
    <row r="204" spans="1:30" ht="51" hidden="1" x14ac:dyDescent="0.2">
      <c r="A204" s="7">
        <v>1208</v>
      </c>
      <c r="B204" s="8" t="s">
        <v>127</v>
      </c>
      <c r="C204" s="8" t="s">
        <v>338</v>
      </c>
      <c r="D204" s="9">
        <v>0.14138686131386857</v>
      </c>
      <c r="E204" s="8" t="s">
        <v>339</v>
      </c>
      <c r="F204" s="8" t="str">
        <f t="shared" si="3"/>
        <v>WK1</v>
      </c>
      <c r="G204" s="9">
        <v>0</v>
      </c>
      <c r="H204" s="9">
        <v>0</v>
      </c>
      <c r="I204" s="9">
        <v>0</v>
      </c>
      <c r="J204" s="9">
        <v>0</v>
      </c>
      <c r="K204" s="9">
        <v>0</v>
      </c>
      <c r="L204" s="9">
        <v>0</v>
      </c>
      <c r="M204" s="9">
        <v>0</v>
      </c>
      <c r="N204" s="9">
        <v>0.1</v>
      </c>
      <c r="O204" s="9">
        <v>0.25</v>
      </c>
      <c r="P204" s="9">
        <v>0.75</v>
      </c>
      <c r="Q204" s="9">
        <v>1</v>
      </c>
      <c r="R204" s="9">
        <v>1</v>
      </c>
      <c r="S204" s="9">
        <v>0.5</v>
      </c>
      <c r="T204" s="9">
        <v>0.5</v>
      </c>
      <c r="U204" s="9">
        <v>1</v>
      </c>
      <c r="V204" s="9">
        <v>1</v>
      </c>
      <c r="W204" s="9">
        <v>0.5</v>
      </c>
      <c r="X204" s="9">
        <v>0.5</v>
      </c>
      <c r="Y204" s="9">
        <v>0</v>
      </c>
      <c r="Z204" s="9">
        <v>0</v>
      </c>
      <c r="AA204" s="9">
        <v>0</v>
      </c>
      <c r="AB204" s="9">
        <v>0</v>
      </c>
      <c r="AC204" s="9">
        <v>0</v>
      </c>
      <c r="AD204" s="9">
        <v>0</v>
      </c>
    </row>
    <row r="205" spans="1:30" ht="51" hidden="1" x14ac:dyDescent="0.2">
      <c r="A205" s="9">
        <v>1208</v>
      </c>
      <c r="B205" s="8" t="s">
        <v>127</v>
      </c>
      <c r="C205" s="8" t="s">
        <v>338</v>
      </c>
      <c r="D205" s="9">
        <v>0.14138686131386857</v>
      </c>
      <c r="E205" s="8" t="s">
        <v>575</v>
      </c>
      <c r="F205" s="8" t="str">
        <f t="shared" si="3"/>
        <v>Wk2</v>
      </c>
      <c r="G205" s="9">
        <v>0</v>
      </c>
      <c r="H205" s="9">
        <v>0</v>
      </c>
      <c r="I205" s="9">
        <v>0</v>
      </c>
      <c r="J205" s="9">
        <v>0</v>
      </c>
      <c r="K205" s="9">
        <v>0</v>
      </c>
      <c r="L205" s="9">
        <v>0</v>
      </c>
      <c r="M205" s="9">
        <v>0</v>
      </c>
      <c r="N205" s="9">
        <v>0</v>
      </c>
      <c r="O205" s="9">
        <v>0</v>
      </c>
      <c r="P205" s="9">
        <v>0.5</v>
      </c>
      <c r="Q205" s="9">
        <v>1</v>
      </c>
      <c r="R205" s="9">
        <v>1</v>
      </c>
      <c r="S205" s="9">
        <v>1</v>
      </c>
      <c r="T205" s="9">
        <v>0.75</v>
      </c>
      <c r="U205" s="9">
        <v>1</v>
      </c>
      <c r="V205" s="9">
        <v>0.75</v>
      </c>
      <c r="W205" s="9">
        <v>0</v>
      </c>
      <c r="X205" s="9">
        <v>0</v>
      </c>
      <c r="Y205" s="9">
        <v>0</v>
      </c>
      <c r="Z205" s="9">
        <v>0</v>
      </c>
      <c r="AA205" s="9">
        <v>0</v>
      </c>
      <c r="AB205" s="9">
        <v>0</v>
      </c>
      <c r="AC205" s="9">
        <v>0</v>
      </c>
      <c r="AD205" s="9">
        <v>0</v>
      </c>
    </row>
    <row r="206" spans="1:30" ht="51" hidden="1" x14ac:dyDescent="0.2">
      <c r="A206" s="7">
        <v>1209</v>
      </c>
      <c r="B206" s="8" t="s">
        <v>420</v>
      </c>
      <c r="C206" s="8" t="s">
        <v>338</v>
      </c>
      <c r="D206" s="9">
        <v>0.11</v>
      </c>
      <c r="E206" s="8" t="s">
        <v>576</v>
      </c>
      <c r="F206" s="8" t="str">
        <f t="shared" si="3"/>
        <v>WK1</v>
      </c>
      <c r="G206" s="9">
        <v>0</v>
      </c>
      <c r="H206" s="9">
        <v>0</v>
      </c>
      <c r="I206" s="9">
        <v>0</v>
      </c>
      <c r="J206" s="9">
        <v>0</v>
      </c>
      <c r="K206" s="9">
        <v>0</v>
      </c>
      <c r="L206" s="9">
        <v>0</v>
      </c>
      <c r="M206" s="9">
        <v>0</v>
      </c>
      <c r="N206" s="9">
        <v>0.25</v>
      </c>
      <c r="O206" s="9">
        <v>0.5</v>
      </c>
      <c r="P206" s="9">
        <v>1</v>
      </c>
      <c r="Q206" s="9">
        <v>1</v>
      </c>
      <c r="R206" s="9">
        <v>1</v>
      </c>
      <c r="S206" s="9">
        <v>0.75</v>
      </c>
      <c r="T206" s="9">
        <v>0.75</v>
      </c>
      <c r="U206" s="9">
        <v>1</v>
      </c>
      <c r="V206" s="9">
        <v>1</v>
      </c>
      <c r="W206" s="9">
        <v>1</v>
      </c>
      <c r="X206" s="9">
        <v>0.5</v>
      </c>
      <c r="Y206" s="9">
        <v>0.25</v>
      </c>
      <c r="Z206" s="9">
        <v>0</v>
      </c>
      <c r="AA206" s="9">
        <v>0</v>
      </c>
      <c r="AB206" s="9">
        <v>0</v>
      </c>
      <c r="AC206" s="9">
        <v>0</v>
      </c>
      <c r="AD206" s="9">
        <v>0</v>
      </c>
    </row>
    <row r="207" spans="1:30" ht="51" hidden="1" x14ac:dyDescent="0.2">
      <c r="A207" s="9">
        <v>1209</v>
      </c>
      <c r="B207" s="8" t="s">
        <v>420</v>
      </c>
      <c r="C207" s="8" t="s">
        <v>338</v>
      </c>
      <c r="D207" s="9">
        <v>0.11</v>
      </c>
      <c r="E207" s="8" t="s">
        <v>577</v>
      </c>
      <c r="F207" s="8" t="str">
        <f t="shared" si="3"/>
        <v>Wk2</v>
      </c>
      <c r="G207" s="9">
        <v>0</v>
      </c>
      <c r="H207" s="9">
        <v>0</v>
      </c>
      <c r="I207" s="9">
        <v>0</v>
      </c>
      <c r="J207" s="9">
        <v>0</v>
      </c>
      <c r="K207" s="9">
        <v>0</v>
      </c>
      <c r="L207" s="9">
        <v>0</v>
      </c>
      <c r="M207" s="9">
        <v>0</v>
      </c>
      <c r="N207" s="9">
        <v>0</v>
      </c>
      <c r="O207" s="9">
        <v>0</v>
      </c>
      <c r="P207" s="9">
        <v>0</v>
      </c>
      <c r="Q207" s="9">
        <v>0</v>
      </c>
      <c r="R207" s="9">
        <v>0</v>
      </c>
      <c r="S207" s="9">
        <v>0</v>
      </c>
      <c r="T207" s="9">
        <v>0</v>
      </c>
      <c r="U207" s="9">
        <v>0</v>
      </c>
      <c r="V207" s="9">
        <v>0</v>
      </c>
      <c r="W207" s="9">
        <v>0</v>
      </c>
      <c r="X207" s="9">
        <v>0</v>
      </c>
      <c r="Y207" s="9">
        <v>0</v>
      </c>
      <c r="Z207" s="9">
        <v>0</v>
      </c>
      <c r="AA207" s="9">
        <v>0</v>
      </c>
      <c r="AB207" s="9">
        <v>0</v>
      </c>
      <c r="AC207" s="9">
        <v>0</v>
      </c>
      <c r="AD207" s="9">
        <v>0</v>
      </c>
    </row>
    <row r="208" spans="1:30" ht="51" hidden="1" x14ac:dyDescent="0.2">
      <c r="A208" s="7">
        <v>1210</v>
      </c>
      <c r="B208" s="8" t="s">
        <v>367</v>
      </c>
      <c r="C208" s="8" t="s">
        <v>338</v>
      </c>
      <c r="D208" s="9">
        <v>5.2724358974358988E-2</v>
      </c>
      <c r="E208" s="8" t="s">
        <v>340</v>
      </c>
      <c r="F208" s="8" t="str">
        <f t="shared" si="3"/>
        <v>WK1</v>
      </c>
      <c r="G208" s="9">
        <v>0</v>
      </c>
      <c r="H208" s="9">
        <v>0</v>
      </c>
      <c r="I208" s="9">
        <v>0</v>
      </c>
      <c r="J208" s="9">
        <v>0</v>
      </c>
      <c r="K208" s="9">
        <v>0</v>
      </c>
      <c r="L208" s="9">
        <v>0</v>
      </c>
      <c r="M208" s="9">
        <v>0</v>
      </c>
      <c r="N208" s="9">
        <v>0.25</v>
      </c>
      <c r="O208" s="9">
        <v>0.5</v>
      </c>
      <c r="P208" s="9">
        <v>1</v>
      </c>
      <c r="Q208" s="9">
        <v>1</v>
      </c>
      <c r="R208" s="9">
        <v>1</v>
      </c>
      <c r="S208" s="9">
        <v>0.75</v>
      </c>
      <c r="T208" s="9">
        <v>0.75</v>
      </c>
      <c r="U208" s="9">
        <v>1</v>
      </c>
      <c r="V208" s="9">
        <v>1</v>
      </c>
      <c r="W208" s="9">
        <v>1</v>
      </c>
      <c r="X208" s="9">
        <v>0.5</v>
      </c>
      <c r="Y208" s="9">
        <v>0.25</v>
      </c>
      <c r="Z208" s="9">
        <v>0</v>
      </c>
      <c r="AA208" s="9">
        <v>0</v>
      </c>
      <c r="AB208" s="9">
        <v>0</v>
      </c>
      <c r="AC208" s="9">
        <v>0</v>
      </c>
      <c r="AD208" s="9">
        <v>0</v>
      </c>
    </row>
    <row r="209" spans="1:30" ht="51" hidden="1" x14ac:dyDescent="0.2">
      <c r="A209" s="9">
        <v>1210</v>
      </c>
      <c r="B209" s="8" t="s">
        <v>367</v>
      </c>
      <c r="C209" s="8" t="s">
        <v>338</v>
      </c>
      <c r="D209" s="9">
        <v>5.2724358974358988E-2</v>
      </c>
      <c r="E209" s="8" t="s">
        <v>578</v>
      </c>
      <c r="F209" s="8" t="str">
        <f t="shared" si="3"/>
        <v>Wk2</v>
      </c>
      <c r="G209" s="9">
        <v>0</v>
      </c>
      <c r="H209" s="9">
        <v>0</v>
      </c>
      <c r="I209" s="9">
        <v>0</v>
      </c>
      <c r="J209" s="9">
        <v>0</v>
      </c>
      <c r="K209" s="9">
        <v>0</v>
      </c>
      <c r="L209" s="9">
        <v>0</v>
      </c>
      <c r="M209" s="9">
        <v>0</v>
      </c>
      <c r="N209" s="9">
        <v>0</v>
      </c>
      <c r="O209" s="9">
        <v>0</v>
      </c>
      <c r="P209" s="9">
        <v>0.5</v>
      </c>
      <c r="Q209" s="9">
        <v>1</v>
      </c>
      <c r="R209" s="9">
        <v>1</v>
      </c>
      <c r="S209" s="9">
        <v>1</v>
      </c>
      <c r="T209" s="9">
        <v>0.75</v>
      </c>
      <c r="U209" s="9">
        <v>1</v>
      </c>
      <c r="V209" s="9">
        <v>0.75</v>
      </c>
      <c r="W209" s="9">
        <v>0</v>
      </c>
      <c r="X209" s="9">
        <v>0</v>
      </c>
      <c r="Y209" s="9">
        <v>0</v>
      </c>
      <c r="Z209" s="9">
        <v>0</v>
      </c>
      <c r="AA209" s="9">
        <v>0</v>
      </c>
      <c r="AB209" s="9">
        <v>0</v>
      </c>
      <c r="AC209" s="9">
        <v>0</v>
      </c>
      <c r="AD209" s="9">
        <v>0</v>
      </c>
    </row>
    <row r="210" spans="1:30" ht="51" x14ac:dyDescent="0.2">
      <c r="A210" s="7">
        <v>1211</v>
      </c>
      <c r="B210" s="8" t="s">
        <v>104</v>
      </c>
      <c r="C210" s="8" t="s">
        <v>338</v>
      </c>
      <c r="D210" s="9">
        <v>0.2</v>
      </c>
      <c r="E210" s="8" t="s">
        <v>341</v>
      </c>
      <c r="F210" s="8" t="str">
        <f t="shared" si="3"/>
        <v>WK1</v>
      </c>
      <c r="G210" s="9">
        <v>0</v>
      </c>
      <c r="H210" s="9">
        <v>0</v>
      </c>
      <c r="I210" s="9">
        <v>0</v>
      </c>
      <c r="J210" s="9">
        <v>0</v>
      </c>
      <c r="K210" s="9">
        <v>0</v>
      </c>
      <c r="L210" s="9">
        <v>0</v>
      </c>
      <c r="M210" s="9">
        <v>0</v>
      </c>
      <c r="N210" s="9">
        <v>0</v>
      </c>
      <c r="O210" s="9">
        <v>0</v>
      </c>
      <c r="P210" s="9">
        <v>0</v>
      </c>
      <c r="Q210" s="9">
        <v>0</v>
      </c>
      <c r="R210" s="9">
        <v>0.25</v>
      </c>
      <c r="S210" s="9">
        <v>1</v>
      </c>
      <c r="T210" s="9">
        <v>1</v>
      </c>
      <c r="U210" s="9">
        <v>0.75</v>
      </c>
      <c r="V210" s="9">
        <v>0</v>
      </c>
      <c r="W210" s="9">
        <v>0</v>
      </c>
      <c r="X210" s="9">
        <v>0</v>
      </c>
      <c r="Y210" s="9">
        <v>0</v>
      </c>
      <c r="Z210" s="9">
        <v>0</v>
      </c>
      <c r="AA210" s="9">
        <v>0</v>
      </c>
      <c r="AB210" s="9">
        <v>0</v>
      </c>
      <c r="AC210" s="9">
        <v>0</v>
      </c>
      <c r="AD210" s="9">
        <v>0</v>
      </c>
    </row>
    <row r="211" spans="1:30" ht="51" hidden="1" x14ac:dyDescent="0.2">
      <c r="A211" s="9">
        <v>1211</v>
      </c>
      <c r="B211" s="8" t="s">
        <v>104</v>
      </c>
      <c r="C211" s="8" t="s">
        <v>338</v>
      </c>
      <c r="D211" s="9">
        <v>0.2</v>
      </c>
      <c r="E211" s="8" t="s">
        <v>579</v>
      </c>
      <c r="F211" s="8" t="str">
        <f t="shared" si="3"/>
        <v>Wk2</v>
      </c>
      <c r="G211" s="9">
        <v>0</v>
      </c>
      <c r="H211" s="9">
        <v>0</v>
      </c>
      <c r="I211" s="9">
        <v>0</v>
      </c>
      <c r="J211" s="9">
        <v>0</v>
      </c>
      <c r="K211" s="9">
        <v>0</v>
      </c>
      <c r="L211" s="9">
        <v>0</v>
      </c>
      <c r="M211" s="9">
        <v>0</v>
      </c>
      <c r="N211" s="9">
        <v>0</v>
      </c>
      <c r="O211" s="9">
        <v>0</v>
      </c>
      <c r="P211" s="9">
        <v>0</v>
      </c>
      <c r="Q211" s="9">
        <v>0</v>
      </c>
      <c r="R211" s="9">
        <v>0</v>
      </c>
      <c r="S211" s="9">
        <v>0</v>
      </c>
      <c r="T211" s="9">
        <v>0</v>
      </c>
      <c r="U211" s="9">
        <v>0</v>
      </c>
      <c r="V211" s="9">
        <v>0</v>
      </c>
      <c r="W211" s="9">
        <v>0</v>
      </c>
      <c r="X211" s="9">
        <v>0</v>
      </c>
      <c r="Y211" s="9">
        <v>0</v>
      </c>
      <c r="Z211" s="9">
        <v>0</v>
      </c>
      <c r="AA211" s="9">
        <v>0</v>
      </c>
      <c r="AB211" s="9">
        <v>0</v>
      </c>
      <c r="AC211" s="9">
        <v>0</v>
      </c>
      <c r="AD211" s="9">
        <v>0</v>
      </c>
    </row>
    <row r="212" spans="1:30" ht="51" hidden="1" x14ac:dyDescent="0.2">
      <c r="A212" s="7">
        <v>1212</v>
      </c>
      <c r="B212" s="8" t="s">
        <v>273</v>
      </c>
      <c r="C212" s="8" t="s">
        <v>338</v>
      </c>
      <c r="D212" s="9">
        <v>0.18149999999999999</v>
      </c>
      <c r="E212" s="8" t="s">
        <v>342</v>
      </c>
      <c r="F212" s="8" t="str">
        <f t="shared" si="3"/>
        <v>WK1</v>
      </c>
      <c r="G212" s="9">
        <v>0</v>
      </c>
      <c r="H212" s="9">
        <v>0</v>
      </c>
      <c r="I212" s="9">
        <v>0</v>
      </c>
      <c r="J212" s="9">
        <v>0</v>
      </c>
      <c r="K212" s="9">
        <v>0</v>
      </c>
      <c r="L212" s="9">
        <v>0</v>
      </c>
      <c r="M212" s="9">
        <v>0</v>
      </c>
      <c r="N212" s="9">
        <v>0</v>
      </c>
      <c r="O212" s="9">
        <v>0</v>
      </c>
      <c r="P212" s="9">
        <v>0</v>
      </c>
      <c r="Q212" s="9">
        <v>0</v>
      </c>
      <c r="R212" s="9">
        <v>0.25</v>
      </c>
      <c r="S212" s="9">
        <v>1</v>
      </c>
      <c r="T212" s="9">
        <v>1</v>
      </c>
      <c r="U212" s="9">
        <v>0.75</v>
      </c>
      <c r="V212" s="9">
        <v>0</v>
      </c>
      <c r="W212" s="9">
        <v>0</v>
      </c>
      <c r="X212" s="9">
        <v>0</v>
      </c>
      <c r="Y212" s="9">
        <v>0</v>
      </c>
      <c r="Z212" s="9">
        <v>0</v>
      </c>
      <c r="AA212" s="9">
        <v>0</v>
      </c>
      <c r="AB212" s="9">
        <v>0</v>
      </c>
      <c r="AC212" s="9">
        <v>0</v>
      </c>
      <c r="AD212" s="9">
        <v>0</v>
      </c>
    </row>
    <row r="213" spans="1:30" ht="51" hidden="1" x14ac:dyDescent="0.2">
      <c r="A213" s="9">
        <v>1212</v>
      </c>
      <c r="B213" s="8" t="s">
        <v>273</v>
      </c>
      <c r="C213" s="8" t="s">
        <v>338</v>
      </c>
      <c r="D213" s="9">
        <v>0.18149999999999999</v>
      </c>
      <c r="E213" s="8" t="s">
        <v>580</v>
      </c>
      <c r="F213" s="8" t="str">
        <f t="shared" si="3"/>
        <v>Wk2</v>
      </c>
      <c r="G213" s="9">
        <v>0</v>
      </c>
      <c r="H213" s="9">
        <v>0</v>
      </c>
      <c r="I213" s="9">
        <v>0</v>
      </c>
      <c r="J213" s="9">
        <v>0</v>
      </c>
      <c r="K213" s="9">
        <v>0</v>
      </c>
      <c r="L213" s="9">
        <v>0</v>
      </c>
      <c r="M213" s="9">
        <v>0</v>
      </c>
      <c r="N213" s="9">
        <v>0</v>
      </c>
      <c r="O213" s="9">
        <v>0</v>
      </c>
      <c r="P213" s="9">
        <v>0</v>
      </c>
      <c r="Q213" s="9">
        <v>0</v>
      </c>
      <c r="R213" s="9">
        <v>0</v>
      </c>
      <c r="S213" s="9">
        <v>0</v>
      </c>
      <c r="T213" s="9">
        <v>0</v>
      </c>
      <c r="U213" s="9">
        <v>0</v>
      </c>
      <c r="V213" s="9">
        <v>0</v>
      </c>
      <c r="W213" s="9">
        <v>0</v>
      </c>
      <c r="X213" s="9">
        <v>0</v>
      </c>
      <c r="Y213" s="9">
        <v>0</v>
      </c>
      <c r="Z213" s="9">
        <v>0</v>
      </c>
      <c r="AA213" s="9">
        <v>0</v>
      </c>
      <c r="AB213" s="9">
        <v>0</v>
      </c>
      <c r="AC213" s="9">
        <v>0</v>
      </c>
      <c r="AD213" s="9">
        <v>0</v>
      </c>
    </row>
    <row r="214" spans="1:30" ht="51" hidden="1" x14ac:dyDescent="0.2">
      <c r="A214" s="7">
        <v>1213</v>
      </c>
      <c r="B214" s="8" t="s">
        <v>172</v>
      </c>
      <c r="C214" s="8" t="s">
        <v>338</v>
      </c>
      <c r="D214" s="9">
        <v>0.21830985915492959</v>
      </c>
      <c r="E214" s="8" t="s">
        <v>343</v>
      </c>
      <c r="F214" s="8" t="str">
        <f t="shared" si="3"/>
        <v>WK1</v>
      </c>
      <c r="G214" s="9">
        <v>0</v>
      </c>
      <c r="H214" s="9">
        <v>0</v>
      </c>
      <c r="I214" s="9">
        <v>0</v>
      </c>
      <c r="J214" s="9">
        <v>0</v>
      </c>
      <c r="K214" s="9">
        <v>0</v>
      </c>
      <c r="L214" s="9">
        <v>0</v>
      </c>
      <c r="M214" s="9">
        <v>0</v>
      </c>
      <c r="N214" s="9">
        <v>0.1</v>
      </c>
      <c r="O214" s="9">
        <v>0.25</v>
      </c>
      <c r="P214" s="9">
        <v>0.75</v>
      </c>
      <c r="Q214" s="9">
        <v>1</v>
      </c>
      <c r="R214" s="9">
        <v>1</v>
      </c>
      <c r="S214" s="9">
        <v>0.5</v>
      </c>
      <c r="T214" s="9">
        <v>0.5</v>
      </c>
      <c r="U214" s="9">
        <v>1</v>
      </c>
      <c r="V214" s="9">
        <v>1</v>
      </c>
      <c r="W214" s="9">
        <v>0.5</v>
      </c>
      <c r="X214" s="9">
        <v>0.5</v>
      </c>
      <c r="Y214" s="9">
        <v>0</v>
      </c>
      <c r="Z214" s="9">
        <v>0</v>
      </c>
      <c r="AA214" s="9">
        <v>0</v>
      </c>
      <c r="AB214" s="9">
        <v>0</v>
      </c>
      <c r="AC214" s="9">
        <v>0</v>
      </c>
      <c r="AD214" s="9">
        <v>0</v>
      </c>
    </row>
    <row r="215" spans="1:30" ht="51" hidden="1" x14ac:dyDescent="0.2">
      <c r="A215" s="9">
        <v>1213</v>
      </c>
      <c r="B215" s="8" t="s">
        <v>172</v>
      </c>
      <c r="C215" s="8" t="s">
        <v>338</v>
      </c>
      <c r="D215" s="9">
        <v>0.21830985915492959</v>
      </c>
      <c r="E215" s="8" t="s">
        <v>581</v>
      </c>
      <c r="F215" s="8" t="str">
        <f t="shared" si="3"/>
        <v>Wk2</v>
      </c>
      <c r="G215" s="9">
        <v>0</v>
      </c>
      <c r="H215" s="9">
        <v>0</v>
      </c>
      <c r="I215" s="9">
        <v>0</v>
      </c>
      <c r="J215" s="9">
        <v>0</v>
      </c>
      <c r="K215" s="9">
        <v>0</v>
      </c>
      <c r="L215" s="9">
        <v>0</v>
      </c>
      <c r="M215" s="9">
        <v>0</v>
      </c>
      <c r="N215" s="9">
        <v>0</v>
      </c>
      <c r="O215" s="9">
        <v>0</v>
      </c>
      <c r="P215" s="9">
        <v>0</v>
      </c>
      <c r="Q215" s="9">
        <v>0</v>
      </c>
      <c r="R215" s="9">
        <v>0</v>
      </c>
      <c r="S215" s="9">
        <v>0</v>
      </c>
      <c r="T215" s="9">
        <v>0</v>
      </c>
      <c r="U215" s="9">
        <v>0</v>
      </c>
      <c r="V215" s="9">
        <v>0</v>
      </c>
      <c r="W215" s="9">
        <v>0</v>
      </c>
      <c r="X215" s="9">
        <v>0</v>
      </c>
      <c r="Y215" s="9">
        <v>0</v>
      </c>
      <c r="Z215" s="9">
        <v>0</v>
      </c>
      <c r="AA215" s="9">
        <v>0</v>
      </c>
      <c r="AB215" s="9">
        <v>0</v>
      </c>
      <c r="AC215" s="9">
        <v>0</v>
      </c>
      <c r="AD215" s="9">
        <v>0</v>
      </c>
    </row>
    <row r="216" spans="1:30" ht="51" hidden="1" x14ac:dyDescent="0.2">
      <c r="A216" s="9">
        <v>1214</v>
      </c>
      <c r="B216" s="8" t="s">
        <v>344</v>
      </c>
      <c r="C216" s="8" t="s">
        <v>338</v>
      </c>
      <c r="D216" s="9">
        <v>0.21830985915492959</v>
      </c>
      <c r="E216" s="8" t="s">
        <v>345</v>
      </c>
      <c r="F216" s="8" t="str">
        <f t="shared" si="3"/>
        <v>Wk2</v>
      </c>
      <c r="G216" s="9">
        <v>0</v>
      </c>
      <c r="H216" s="9">
        <v>0</v>
      </c>
      <c r="I216" s="9">
        <v>0</v>
      </c>
      <c r="J216" s="9">
        <v>0</v>
      </c>
      <c r="K216" s="9">
        <v>0</v>
      </c>
      <c r="L216" s="9">
        <v>0</v>
      </c>
      <c r="M216" s="9">
        <v>0</v>
      </c>
      <c r="N216" s="9">
        <v>0</v>
      </c>
      <c r="O216" s="9">
        <v>0</v>
      </c>
      <c r="P216" s="9">
        <v>0</v>
      </c>
      <c r="Q216" s="9">
        <v>0</v>
      </c>
      <c r="R216" s="9">
        <v>0</v>
      </c>
      <c r="S216" s="9">
        <v>0</v>
      </c>
      <c r="T216" s="9">
        <v>0</v>
      </c>
      <c r="U216" s="9">
        <v>0</v>
      </c>
      <c r="V216" s="9">
        <v>0</v>
      </c>
      <c r="W216" s="9">
        <v>0</v>
      </c>
      <c r="X216" s="9">
        <v>0</v>
      </c>
      <c r="Y216" s="9">
        <v>0</v>
      </c>
      <c r="Z216" s="9">
        <v>0</v>
      </c>
      <c r="AA216" s="9">
        <v>0</v>
      </c>
      <c r="AB216" s="9">
        <v>0</v>
      </c>
      <c r="AC216" s="9">
        <v>0</v>
      </c>
      <c r="AD216" s="9">
        <v>0</v>
      </c>
    </row>
    <row r="217" spans="1:30" ht="51" hidden="1" x14ac:dyDescent="0.2">
      <c r="A217" s="7">
        <v>1214</v>
      </c>
      <c r="B217" s="8" t="s">
        <v>344</v>
      </c>
      <c r="C217" s="8" t="s">
        <v>338</v>
      </c>
      <c r="D217" s="9">
        <v>0.21830985915492959</v>
      </c>
      <c r="E217" s="8" t="s">
        <v>346</v>
      </c>
      <c r="F217" s="8" t="str">
        <f t="shared" si="3"/>
        <v>Wk1</v>
      </c>
      <c r="G217" s="9">
        <v>0</v>
      </c>
      <c r="H217" s="9">
        <v>0</v>
      </c>
      <c r="I217" s="9">
        <v>0</v>
      </c>
      <c r="J217" s="9">
        <v>0</v>
      </c>
      <c r="K217" s="9">
        <v>0</v>
      </c>
      <c r="L217" s="9">
        <v>0</v>
      </c>
      <c r="M217" s="9">
        <v>0</v>
      </c>
      <c r="N217" s="9">
        <v>0.1</v>
      </c>
      <c r="O217" s="9">
        <v>0.25</v>
      </c>
      <c r="P217" s="9">
        <v>0.75</v>
      </c>
      <c r="Q217" s="9">
        <v>1</v>
      </c>
      <c r="R217" s="9">
        <v>1</v>
      </c>
      <c r="S217" s="9">
        <v>0.5</v>
      </c>
      <c r="T217" s="9">
        <v>0.5</v>
      </c>
      <c r="U217" s="9">
        <v>1</v>
      </c>
      <c r="V217" s="9">
        <v>1</v>
      </c>
      <c r="W217" s="9">
        <v>0.5</v>
      </c>
      <c r="X217" s="9">
        <v>0.5</v>
      </c>
      <c r="Y217" s="9">
        <v>0</v>
      </c>
      <c r="Z217" s="9">
        <v>0</v>
      </c>
      <c r="AA217" s="9">
        <v>0</v>
      </c>
      <c r="AB217" s="9">
        <v>0</v>
      </c>
      <c r="AC217" s="9">
        <v>0</v>
      </c>
      <c r="AD217" s="9">
        <v>0</v>
      </c>
    </row>
    <row r="218" spans="1:30" ht="38.25" hidden="1" x14ac:dyDescent="0.2">
      <c r="A218" s="7">
        <v>1215</v>
      </c>
      <c r="B218" s="8" t="s">
        <v>365</v>
      </c>
      <c r="C218" s="8" t="s">
        <v>338</v>
      </c>
      <c r="D218" s="9">
        <v>0.20985915492957746</v>
      </c>
      <c r="E218" s="8" t="s">
        <v>347</v>
      </c>
      <c r="F218" s="8" t="str">
        <f t="shared" si="3"/>
        <v>WK1</v>
      </c>
      <c r="G218" s="9">
        <v>0</v>
      </c>
      <c r="H218" s="9">
        <v>0</v>
      </c>
      <c r="I218" s="9">
        <v>0</v>
      </c>
      <c r="J218" s="9">
        <v>0</v>
      </c>
      <c r="K218" s="9">
        <v>0</v>
      </c>
      <c r="L218" s="9">
        <v>0</v>
      </c>
      <c r="M218" s="9">
        <v>0</v>
      </c>
      <c r="N218" s="9">
        <v>0.1</v>
      </c>
      <c r="O218" s="9">
        <v>0.25</v>
      </c>
      <c r="P218" s="9">
        <v>0.75</v>
      </c>
      <c r="Q218" s="9">
        <v>1</v>
      </c>
      <c r="R218" s="9">
        <v>1</v>
      </c>
      <c r="S218" s="9">
        <v>0.5</v>
      </c>
      <c r="T218" s="9">
        <v>0.5</v>
      </c>
      <c r="U218" s="9">
        <v>1</v>
      </c>
      <c r="V218" s="9">
        <v>1</v>
      </c>
      <c r="W218" s="9">
        <v>0.5</v>
      </c>
      <c r="X218" s="9">
        <v>0.5</v>
      </c>
      <c r="Y218" s="9">
        <v>0</v>
      </c>
      <c r="Z218" s="9">
        <v>0</v>
      </c>
      <c r="AA218" s="9">
        <v>0</v>
      </c>
      <c r="AB218" s="9">
        <v>0</v>
      </c>
      <c r="AC218" s="9">
        <v>0</v>
      </c>
      <c r="AD218" s="9">
        <v>0</v>
      </c>
    </row>
    <row r="219" spans="1:30" ht="38.25" hidden="1" x14ac:dyDescent="0.2">
      <c r="A219" s="9">
        <v>1215</v>
      </c>
      <c r="B219" s="8" t="s">
        <v>365</v>
      </c>
      <c r="C219" s="8" t="s">
        <v>338</v>
      </c>
      <c r="D219" s="9">
        <v>0.20985915492957746</v>
      </c>
      <c r="E219" s="8" t="s">
        <v>582</v>
      </c>
      <c r="F219" s="8" t="str">
        <f t="shared" si="3"/>
        <v>Wk2</v>
      </c>
      <c r="G219" s="9">
        <v>0</v>
      </c>
      <c r="H219" s="9">
        <v>0</v>
      </c>
      <c r="I219" s="9">
        <v>0</v>
      </c>
      <c r="J219" s="9">
        <v>0</v>
      </c>
      <c r="K219" s="9">
        <v>0</v>
      </c>
      <c r="L219" s="9">
        <v>0</v>
      </c>
      <c r="M219" s="9">
        <v>0</v>
      </c>
      <c r="N219" s="9">
        <v>0</v>
      </c>
      <c r="O219" s="9">
        <v>0</v>
      </c>
      <c r="P219" s="9">
        <v>0</v>
      </c>
      <c r="Q219" s="9">
        <v>0</v>
      </c>
      <c r="R219" s="9">
        <v>0</v>
      </c>
      <c r="S219" s="9">
        <v>0</v>
      </c>
      <c r="T219" s="9">
        <v>0</v>
      </c>
      <c r="U219" s="9">
        <v>0</v>
      </c>
      <c r="V219" s="9">
        <v>0</v>
      </c>
      <c r="W219" s="9">
        <v>0</v>
      </c>
      <c r="X219" s="9">
        <v>0</v>
      </c>
      <c r="Y219" s="9">
        <v>0</v>
      </c>
      <c r="Z219" s="9">
        <v>0</v>
      </c>
      <c r="AA219" s="9">
        <v>0</v>
      </c>
      <c r="AB219" s="9">
        <v>0</v>
      </c>
      <c r="AC219" s="9">
        <v>0</v>
      </c>
      <c r="AD219" s="9">
        <v>0</v>
      </c>
    </row>
    <row r="220" spans="1:30" ht="38.25" hidden="1" x14ac:dyDescent="0.2">
      <c r="A220" s="7">
        <v>1216</v>
      </c>
      <c r="B220" s="8" t="s">
        <v>423</v>
      </c>
      <c r="C220" s="8" t="s">
        <v>338</v>
      </c>
      <c r="D220" s="9">
        <v>0.11</v>
      </c>
      <c r="E220" s="8" t="s">
        <v>583</v>
      </c>
      <c r="F220" s="8" t="str">
        <f t="shared" si="3"/>
        <v>WK1</v>
      </c>
      <c r="G220" s="9">
        <v>0</v>
      </c>
      <c r="H220" s="9">
        <v>0</v>
      </c>
      <c r="I220" s="9">
        <v>0</v>
      </c>
      <c r="J220" s="9">
        <v>0</v>
      </c>
      <c r="K220" s="9">
        <v>0</v>
      </c>
      <c r="L220" s="9">
        <v>0</v>
      </c>
      <c r="M220" s="9">
        <v>0</v>
      </c>
      <c r="N220" s="9">
        <v>0</v>
      </c>
      <c r="O220" s="9">
        <v>0</v>
      </c>
      <c r="P220" s="9">
        <v>0</v>
      </c>
      <c r="Q220" s="9">
        <v>0</v>
      </c>
      <c r="R220" s="9">
        <v>0</v>
      </c>
      <c r="S220" s="9">
        <v>0</v>
      </c>
      <c r="T220" s="9">
        <v>0</v>
      </c>
      <c r="U220" s="9">
        <v>0</v>
      </c>
      <c r="V220" s="9">
        <v>0</v>
      </c>
      <c r="W220" s="9">
        <v>0</v>
      </c>
      <c r="X220" s="9">
        <v>0</v>
      </c>
      <c r="Y220" s="9">
        <v>0</v>
      </c>
      <c r="Z220" s="9">
        <v>0</v>
      </c>
      <c r="AA220" s="9">
        <v>0</v>
      </c>
      <c r="AB220" s="9">
        <v>0</v>
      </c>
      <c r="AC220" s="9">
        <v>0</v>
      </c>
      <c r="AD220" s="9">
        <v>0</v>
      </c>
    </row>
    <row r="221" spans="1:30" ht="38.25" hidden="1" x14ac:dyDescent="0.2">
      <c r="A221" s="9">
        <v>1216</v>
      </c>
      <c r="B221" s="8" t="s">
        <v>423</v>
      </c>
      <c r="C221" s="8" t="s">
        <v>338</v>
      </c>
      <c r="D221" s="9">
        <v>0.11</v>
      </c>
      <c r="E221" s="8" t="s">
        <v>584</v>
      </c>
      <c r="F221" s="8" t="str">
        <f t="shared" si="3"/>
        <v>Wk2</v>
      </c>
      <c r="G221" s="9">
        <v>0</v>
      </c>
      <c r="H221" s="9">
        <v>0</v>
      </c>
      <c r="I221" s="9">
        <v>0</v>
      </c>
      <c r="J221" s="9">
        <v>0</v>
      </c>
      <c r="K221" s="9">
        <v>0</v>
      </c>
      <c r="L221" s="9">
        <v>0</v>
      </c>
      <c r="M221" s="9">
        <v>0</v>
      </c>
      <c r="N221" s="9">
        <v>0</v>
      </c>
      <c r="O221" s="9">
        <v>0</v>
      </c>
      <c r="P221" s="9">
        <v>0</v>
      </c>
      <c r="Q221" s="9">
        <v>0</v>
      </c>
      <c r="R221" s="9">
        <v>0</v>
      </c>
      <c r="S221" s="9">
        <v>0</v>
      </c>
      <c r="T221" s="9">
        <v>0</v>
      </c>
      <c r="U221" s="9">
        <v>0</v>
      </c>
      <c r="V221" s="9">
        <v>0</v>
      </c>
      <c r="W221" s="9">
        <v>0</v>
      </c>
      <c r="X221" s="9">
        <v>0</v>
      </c>
      <c r="Y221" s="9">
        <v>0</v>
      </c>
      <c r="Z221" s="9">
        <v>0</v>
      </c>
      <c r="AA221" s="9">
        <v>0</v>
      </c>
      <c r="AB221" s="9">
        <v>0</v>
      </c>
      <c r="AC221" s="9">
        <v>0</v>
      </c>
      <c r="AD221" s="9">
        <v>0</v>
      </c>
    </row>
    <row r="222" spans="1:30" ht="51" hidden="1" x14ac:dyDescent="0.2">
      <c r="A222" s="7">
        <v>1217</v>
      </c>
      <c r="B222" s="8" t="s">
        <v>286</v>
      </c>
      <c r="C222" s="8" t="s">
        <v>338</v>
      </c>
      <c r="D222" s="9">
        <v>0.11550000000000001</v>
      </c>
      <c r="E222" s="8" t="s">
        <v>348</v>
      </c>
      <c r="F222" s="8" t="str">
        <f t="shared" si="3"/>
        <v>WK1</v>
      </c>
      <c r="G222" s="9">
        <v>0</v>
      </c>
      <c r="H222" s="9">
        <v>0</v>
      </c>
      <c r="I222" s="9">
        <v>0</v>
      </c>
      <c r="J222" s="9">
        <v>0</v>
      </c>
      <c r="K222" s="9">
        <v>0</v>
      </c>
      <c r="L222" s="9">
        <v>0</v>
      </c>
      <c r="M222" s="9">
        <v>0</v>
      </c>
      <c r="N222" s="9">
        <v>0</v>
      </c>
      <c r="O222" s="9">
        <v>0</v>
      </c>
      <c r="P222" s="9">
        <v>1</v>
      </c>
      <c r="Q222" s="9">
        <v>1</v>
      </c>
      <c r="R222" s="9">
        <v>1</v>
      </c>
      <c r="S222" s="9">
        <v>1</v>
      </c>
      <c r="T222" s="9">
        <v>1</v>
      </c>
      <c r="U222" s="9">
        <v>1</v>
      </c>
      <c r="V222" s="9">
        <v>1</v>
      </c>
      <c r="W222" s="9">
        <v>1</v>
      </c>
      <c r="X222" s="9">
        <v>0</v>
      </c>
      <c r="Y222" s="9">
        <v>0</v>
      </c>
      <c r="Z222" s="9">
        <v>0</v>
      </c>
      <c r="AA222" s="9">
        <v>0</v>
      </c>
      <c r="AB222" s="9">
        <v>0</v>
      </c>
      <c r="AC222" s="9">
        <v>0</v>
      </c>
      <c r="AD222" s="9">
        <v>0</v>
      </c>
    </row>
    <row r="223" spans="1:30" ht="51" hidden="1" x14ac:dyDescent="0.2">
      <c r="A223" s="9">
        <v>1217</v>
      </c>
      <c r="B223" s="8" t="s">
        <v>286</v>
      </c>
      <c r="C223" s="8" t="s">
        <v>338</v>
      </c>
      <c r="D223" s="9">
        <v>0.11550000000000001</v>
      </c>
      <c r="E223" s="8" t="s">
        <v>585</v>
      </c>
      <c r="F223" s="8" t="str">
        <f t="shared" si="3"/>
        <v>Wk2</v>
      </c>
      <c r="G223" s="9">
        <v>0</v>
      </c>
      <c r="H223" s="9">
        <v>0</v>
      </c>
      <c r="I223" s="9">
        <v>0</v>
      </c>
      <c r="J223" s="9">
        <v>0</v>
      </c>
      <c r="K223" s="9">
        <v>0</v>
      </c>
      <c r="L223" s="9">
        <v>0</v>
      </c>
      <c r="M223" s="9">
        <v>0</v>
      </c>
      <c r="N223" s="9">
        <v>0</v>
      </c>
      <c r="O223" s="9">
        <v>0</v>
      </c>
      <c r="P223" s="9">
        <v>0</v>
      </c>
      <c r="Q223" s="9">
        <v>0</v>
      </c>
      <c r="R223" s="9">
        <v>0</v>
      </c>
      <c r="S223" s="9">
        <v>0</v>
      </c>
      <c r="T223" s="9">
        <v>0</v>
      </c>
      <c r="U223" s="9">
        <v>0</v>
      </c>
      <c r="V223" s="9">
        <v>0</v>
      </c>
      <c r="W223" s="9">
        <v>0</v>
      </c>
      <c r="X223" s="9">
        <v>0</v>
      </c>
      <c r="Y223" s="9">
        <v>0</v>
      </c>
      <c r="Z223" s="9">
        <v>0</v>
      </c>
      <c r="AA223" s="9">
        <v>0</v>
      </c>
      <c r="AB223" s="9">
        <v>0</v>
      </c>
      <c r="AC223" s="9">
        <v>0</v>
      </c>
      <c r="AD223" s="9">
        <v>0</v>
      </c>
    </row>
    <row r="224" spans="1:30" ht="38.25" hidden="1" x14ac:dyDescent="0.2">
      <c r="A224" s="7">
        <v>1218</v>
      </c>
      <c r="B224" s="8" t="s">
        <v>418</v>
      </c>
      <c r="C224" s="8" t="s">
        <v>338</v>
      </c>
      <c r="D224" s="9">
        <v>0.12100000000000001</v>
      </c>
      <c r="E224" s="8" t="s">
        <v>586</v>
      </c>
      <c r="F224" s="8" t="str">
        <f t="shared" si="3"/>
        <v>WK1</v>
      </c>
      <c r="G224" s="9">
        <v>0</v>
      </c>
      <c r="H224" s="9">
        <v>0</v>
      </c>
      <c r="I224" s="9">
        <v>0</v>
      </c>
      <c r="J224" s="9">
        <v>0</v>
      </c>
      <c r="K224" s="9">
        <v>0</v>
      </c>
      <c r="L224" s="9">
        <v>0</v>
      </c>
      <c r="M224" s="9">
        <v>0</v>
      </c>
      <c r="N224" s="9">
        <v>0</v>
      </c>
      <c r="O224" s="9">
        <v>1</v>
      </c>
      <c r="P224" s="9">
        <v>1</v>
      </c>
      <c r="Q224" s="9">
        <v>1</v>
      </c>
      <c r="R224" s="9">
        <v>1</v>
      </c>
      <c r="S224" s="9">
        <v>1</v>
      </c>
      <c r="T224" s="9">
        <v>1</v>
      </c>
      <c r="U224" s="9">
        <v>1</v>
      </c>
      <c r="V224" s="9">
        <v>1</v>
      </c>
      <c r="W224" s="9">
        <v>1</v>
      </c>
      <c r="X224" s="9">
        <v>1</v>
      </c>
      <c r="Y224" s="9">
        <v>0</v>
      </c>
      <c r="Z224" s="9">
        <v>0</v>
      </c>
      <c r="AA224" s="9">
        <v>0</v>
      </c>
      <c r="AB224" s="9">
        <v>0</v>
      </c>
      <c r="AC224" s="9">
        <v>0</v>
      </c>
      <c r="AD224" s="9">
        <v>0</v>
      </c>
    </row>
    <row r="225" spans="1:30" ht="38.25" hidden="1" x14ac:dyDescent="0.2">
      <c r="A225" s="9">
        <v>1218</v>
      </c>
      <c r="B225" s="8" t="s">
        <v>418</v>
      </c>
      <c r="C225" s="8" t="s">
        <v>338</v>
      </c>
      <c r="D225" s="9">
        <v>0.12100000000000001</v>
      </c>
      <c r="E225" s="8" t="s">
        <v>587</v>
      </c>
      <c r="F225" s="8" t="str">
        <f t="shared" si="3"/>
        <v>Wk2</v>
      </c>
      <c r="G225" s="9">
        <v>0</v>
      </c>
      <c r="H225" s="9">
        <v>0</v>
      </c>
      <c r="I225" s="9">
        <v>0</v>
      </c>
      <c r="J225" s="9">
        <v>0</v>
      </c>
      <c r="K225" s="9">
        <v>0</v>
      </c>
      <c r="L225" s="9">
        <v>0</v>
      </c>
      <c r="M225" s="9">
        <v>0</v>
      </c>
      <c r="N225" s="9">
        <v>0</v>
      </c>
      <c r="O225" s="9">
        <v>0</v>
      </c>
      <c r="P225" s="9">
        <v>0</v>
      </c>
      <c r="Q225" s="9">
        <v>0</v>
      </c>
      <c r="R225" s="9">
        <v>0</v>
      </c>
      <c r="S225" s="9">
        <v>0</v>
      </c>
      <c r="T225" s="9">
        <v>0</v>
      </c>
      <c r="U225" s="9">
        <v>0</v>
      </c>
      <c r="V225" s="9">
        <v>0</v>
      </c>
      <c r="W225" s="9">
        <v>0</v>
      </c>
      <c r="X225" s="9">
        <v>0</v>
      </c>
      <c r="Y225" s="9">
        <v>0</v>
      </c>
      <c r="Z225" s="9">
        <v>0</v>
      </c>
      <c r="AA225" s="9">
        <v>0</v>
      </c>
      <c r="AB225" s="9">
        <v>0</v>
      </c>
      <c r="AC225" s="9">
        <v>0</v>
      </c>
      <c r="AD225" s="9">
        <v>0</v>
      </c>
    </row>
    <row r="226" spans="1:30" ht="38.25" hidden="1" x14ac:dyDescent="0.2">
      <c r="A226" s="7">
        <v>1219</v>
      </c>
      <c r="B226" s="8" t="s">
        <v>366</v>
      </c>
      <c r="C226" s="8" t="s">
        <v>338</v>
      </c>
      <c r="D226" s="9">
        <v>0.14577956989247309</v>
      </c>
      <c r="E226" s="8" t="s">
        <v>349</v>
      </c>
      <c r="F226" s="8" t="str">
        <f t="shared" si="3"/>
        <v>WK1</v>
      </c>
      <c r="G226" s="9">
        <v>0</v>
      </c>
      <c r="H226" s="9">
        <v>0</v>
      </c>
      <c r="I226" s="9">
        <v>0</v>
      </c>
      <c r="J226" s="9">
        <v>0</v>
      </c>
      <c r="K226" s="9">
        <v>0</v>
      </c>
      <c r="L226" s="9">
        <v>0</v>
      </c>
      <c r="M226" s="9">
        <v>0</v>
      </c>
      <c r="N226" s="9">
        <v>0</v>
      </c>
      <c r="O226" s="9">
        <v>0</v>
      </c>
      <c r="P226" s="9">
        <v>1</v>
      </c>
      <c r="Q226" s="9">
        <v>1</v>
      </c>
      <c r="R226" s="9">
        <v>1</v>
      </c>
      <c r="S226" s="9">
        <v>1</v>
      </c>
      <c r="T226" s="9">
        <v>1</v>
      </c>
      <c r="U226" s="9">
        <v>1</v>
      </c>
      <c r="V226" s="9">
        <v>1</v>
      </c>
      <c r="W226" s="9">
        <v>1</v>
      </c>
      <c r="X226" s="9">
        <v>1</v>
      </c>
      <c r="Y226" s="9">
        <v>1</v>
      </c>
      <c r="Z226" s="9">
        <v>1</v>
      </c>
      <c r="AA226" s="9">
        <v>1</v>
      </c>
      <c r="AB226" s="9">
        <v>0</v>
      </c>
      <c r="AC226" s="9">
        <v>0</v>
      </c>
      <c r="AD226" s="9">
        <v>0</v>
      </c>
    </row>
    <row r="227" spans="1:30" ht="38.25" hidden="1" x14ac:dyDescent="0.2">
      <c r="A227" s="9">
        <v>1219</v>
      </c>
      <c r="B227" s="8" t="s">
        <v>366</v>
      </c>
      <c r="C227" s="8" t="s">
        <v>338</v>
      </c>
      <c r="D227" s="9">
        <v>0.14577956989247309</v>
      </c>
      <c r="E227" s="8" t="s">
        <v>588</v>
      </c>
      <c r="F227" s="8" t="str">
        <f t="shared" si="3"/>
        <v>Wk2</v>
      </c>
      <c r="G227" s="9">
        <v>0</v>
      </c>
      <c r="H227" s="9">
        <v>0</v>
      </c>
      <c r="I227" s="9">
        <v>0</v>
      </c>
      <c r="J227" s="9">
        <v>0</v>
      </c>
      <c r="K227" s="9">
        <v>0</v>
      </c>
      <c r="L227" s="9">
        <v>0</v>
      </c>
      <c r="M227" s="9">
        <v>0</v>
      </c>
      <c r="N227" s="9">
        <v>0</v>
      </c>
      <c r="O227" s="9">
        <v>0</v>
      </c>
      <c r="P227" s="9">
        <v>0.5</v>
      </c>
      <c r="Q227" s="9">
        <v>1</v>
      </c>
      <c r="R227" s="9">
        <v>1</v>
      </c>
      <c r="S227" s="9">
        <v>1</v>
      </c>
      <c r="T227" s="9">
        <v>0.75</v>
      </c>
      <c r="U227" s="9">
        <v>1</v>
      </c>
      <c r="V227" s="9">
        <v>0.75</v>
      </c>
      <c r="W227" s="9">
        <v>0</v>
      </c>
      <c r="X227" s="9">
        <v>0</v>
      </c>
      <c r="Y227" s="9">
        <v>0</v>
      </c>
      <c r="Z227" s="9">
        <v>0</v>
      </c>
      <c r="AA227" s="9">
        <v>0</v>
      </c>
      <c r="AB227" s="9">
        <v>0</v>
      </c>
      <c r="AC227" s="9">
        <v>0</v>
      </c>
      <c r="AD227" s="9">
        <v>0</v>
      </c>
    </row>
    <row r="228" spans="1:30" ht="38.25" hidden="1" x14ac:dyDescent="0.2">
      <c r="A228" s="7">
        <v>1220</v>
      </c>
      <c r="B228" s="8" t="s">
        <v>370</v>
      </c>
      <c r="C228" s="8" t="s">
        <v>338</v>
      </c>
      <c r="D228" s="9">
        <v>0.11</v>
      </c>
      <c r="E228" s="8" t="s">
        <v>589</v>
      </c>
      <c r="F228" s="8" t="str">
        <f t="shared" si="3"/>
        <v>WK1</v>
      </c>
      <c r="G228" s="9">
        <v>0</v>
      </c>
      <c r="H228" s="9">
        <v>0</v>
      </c>
      <c r="I228" s="9">
        <v>0</v>
      </c>
      <c r="J228" s="9">
        <v>0</v>
      </c>
      <c r="K228" s="9">
        <v>0</v>
      </c>
      <c r="L228" s="9">
        <v>0</v>
      </c>
      <c r="M228" s="9">
        <v>0</v>
      </c>
      <c r="N228" s="9">
        <v>0.25</v>
      </c>
      <c r="O228" s="9">
        <v>0.5</v>
      </c>
      <c r="P228" s="9">
        <v>1</v>
      </c>
      <c r="Q228" s="9">
        <v>1</v>
      </c>
      <c r="R228" s="9">
        <v>1</v>
      </c>
      <c r="S228" s="9">
        <v>0.75</v>
      </c>
      <c r="T228" s="9">
        <v>0.75</v>
      </c>
      <c r="U228" s="9">
        <v>1</v>
      </c>
      <c r="V228" s="9">
        <v>1</v>
      </c>
      <c r="W228" s="9">
        <v>1</v>
      </c>
      <c r="X228" s="9">
        <v>0.5</v>
      </c>
      <c r="Y228" s="9">
        <v>0.25</v>
      </c>
      <c r="Z228" s="9">
        <v>0</v>
      </c>
      <c r="AA228" s="9">
        <v>0</v>
      </c>
      <c r="AB228" s="9">
        <v>0</v>
      </c>
      <c r="AC228" s="9">
        <v>0</v>
      </c>
      <c r="AD228" s="9">
        <v>0</v>
      </c>
    </row>
    <row r="229" spans="1:30" ht="38.25" hidden="1" x14ac:dyDescent="0.2">
      <c r="A229" s="9">
        <v>1220</v>
      </c>
      <c r="B229" s="8" t="s">
        <v>370</v>
      </c>
      <c r="C229" s="8" t="s">
        <v>338</v>
      </c>
      <c r="D229" s="9">
        <v>0.11</v>
      </c>
      <c r="E229" s="8" t="s">
        <v>590</v>
      </c>
      <c r="F229" s="8" t="str">
        <f t="shared" si="3"/>
        <v>Wk2</v>
      </c>
      <c r="G229" s="9">
        <v>0</v>
      </c>
      <c r="H229" s="9">
        <v>0</v>
      </c>
      <c r="I229" s="9">
        <v>0</v>
      </c>
      <c r="J229" s="9">
        <v>0</v>
      </c>
      <c r="K229" s="9">
        <v>0</v>
      </c>
      <c r="L229" s="9">
        <v>0</v>
      </c>
      <c r="M229" s="9">
        <v>0</v>
      </c>
      <c r="N229" s="9">
        <v>0</v>
      </c>
      <c r="O229" s="9">
        <v>0</v>
      </c>
      <c r="P229" s="9">
        <v>0</v>
      </c>
      <c r="Q229" s="9">
        <v>0</v>
      </c>
      <c r="R229" s="9">
        <v>0</v>
      </c>
      <c r="S229" s="9">
        <v>0</v>
      </c>
      <c r="T229" s="9">
        <v>0</v>
      </c>
      <c r="U229" s="9">
        <v>0</v>
      </c>
      <c r="V229" s="9">
        <v>0</v>
      </c>
      <c r="W229" s="9">
        <v>0</v>
      </c>
      <c r="X229" s="9">
        <v>0</v>
      </c>
      <c r="Y229" s="9">
        <v>0</v>
      </c>
      <c r="Z229" s="9">
        <v>0</v>
      </c>
      <c r="AA229" s="9">
        <v>0</v>
      </c>
      <c r="AB229" s="9">
        <v>0</v>
      </c>
      <c r="AC229" s="9">
        <v>0</v>
      </c>
      <c r="AD229" s="9">
        <v>0</v>
      </c>
    </row>
    <row r="230" spans="1:30" ht="51" hidden="1" x14ac:dyDescent="0.2">
      <c r="A230" s="7">
        <v>1221</v>
      </c>
      <c r="B230" s="8" t="s">
        <v>106</v>
      </c>
      <c r="C230" s="8" t="s">
        <v>338</v>
      </c>
      <c r="D230" s="9">
        <v>6.3259259264444451E-2</v>
      </c>
      <c r="E230" s="8" t="s">
        <v>350</v>
      </c>
      <c r="F230" s="8" t="str">
        <f t="shared" si="3"/>
        <v>Wk1</v>
      </c>
      <c r="G230" s="9">
        <v>0</v>
      </c>
      <c r="H230" s="9">
        <v>0</v>
      </c>
      <c r="I230" s="9">
        <v>0</v>
      </c>
      <c r="J230" s="9">
        <v>0</v>
      </c>
      <c r="K230" s="9">
        <v>0</v>
      </c>
      <c r="L230" s="9">
        <v>0</v>
      </c>
      <c r="M230" s="9">
        <v>0</v>
      </c>
      <c r="N230" s="9">
        <v>0.25</v>
      </c>
      <c r="O230" s="9">
        <v>0.5</v>
      </c>
      <c r="P230" s="9">
        <v>1</v>
      </c>
      <c r="Q230" s="9">
        <v>1</v>
      </c>
      <c r="R230" s="9">
        <v>1</v>
      </c>
      <c r="S230" s="9">
        <v>0.75</v>
      </c>
      <c r="T230" s="9">
        <v>0.75</v>
      </c>
      <c r="U230" s="9">
        <v>1</v>
      </c>
      <c r="V230" s="9">
        <v>1</v>
      </c>
      <c r="W230" s="9">
        <v>1</v>
      </c>
      <c r="X230" s="9">
        <v>0.5</v>
      </c>
      <c r="Y230" s="9">
        <v>0.25</v>
      </c>
      <c r="Z230" s="9">
        <v>0</v>
      </c>
      <c r="AA230" s="9">
        <v>0</v>
      </c>
      <c r="AB230" s="9">
        <v>0</v>
      </c>
      <c r="AC230" s="9">
        <v>0</v>
      </c>
      <c r="AD230" s="9">
        <v>0</v>
      </c>
    </row>
    <row r="231" spans="1:30" ht="51" hidden="1" x14ac:dyDescent="0.2">
      <c r="A231" s="9">
        <v>1221</v>
      </c>
      <c r="B231" s="8" t="s">
        <v>106</v>
      </c>
      <c r="C231" s="8" t="s">
        <v>338</v>
      </c>
      <c r="D231" s="9">
        <v>6.3259259264444451E-2</v>
      </c>
      <c r="E231" s="8" t="s">
        <v>591</v>
      </c>
      <c r="F231" s="8" t="str">
        <f t="shared" si="3"/>
        <v>Wk2</v>
      </c>
      <c r="G231" s="9">
        <v>0</v>
      </c>
      <c r="H231" s="9">
        <v>0</v>
      </c>
      <c r="I231" s="9">
        <v>0</v>
      </c>
      <c r="J231" s="9">
        <v>0</v>
      </c>
      <c r="K231" s="9">
        <v>0</v>
      </c>
      <c r="L231" s="9">
        <v>0</v>
      </c>
      <c r="M231" s="9">
        <v>0</v>
      </c>
      <c r="N231" s="9">
        <v>0</v>
      </c>
      <c r="O231" s="9">
        <v>0</v>
      </c>
      <c r="P231" s="9">
        <v>0</v>
      </c>
      <c r="Q231" s="9">
        <v>0</v>
      </c>
      <c r="R231" s="9">
        <v>0</v>
      </c>
      <c r="S231" s="9">
        <v>0</v>
      </c>
      <c r="T231" s="9">
        <v>0</v>
      </c>
      <c r="U231" s="9">
        <v>0</v>
      </c>
      <c r="V231" s="9">
        <v>0</v>
      </c>
      <c r="W231" s="9">
        <v>0</v>
      </c>
      <c r="X231" s="9">
        <v>0</v>
      </c>
      <c r="Y231" s="9">
        <v>0</v>
      </c>
      <c r="Z231" s="9">
        <v>0</v>
      </c>
      <c r="AA231" s="9">
        <v>0</v>
      </c>
      <c r="AB231" s="9">
        <v>0</v>
      </c>
      <c r="AC231" s="9">
        <v>0</v>
      </c>
      <c r="AD231" s="9">
        <v>0</v>
      </c>
    </row>
    <row r="232" spans="1:30" ht="51" hidden="1" x14ac:dyDescent="0.2">
      <c r="A232" s="9">
        <v>1222</v>
      </c>
      <c r="B232" s="8" t="s">
        <v>592</v>
      </c>
      <c r="C232" s="8" t="s">
        <v>338</v>
      </c>
      <c r="D232" s="9">
        <v>0.55232394366197191</v>
      </c>
      <c r="E232" s="8" t="s">
        <v>593</v>
      </c>
      <c r="F232" s="8" t="str">
        <f t="shared" si="3"/>
        <v>Wk2</v>
      </c>
      <c r="G232" s="9">
        <v>0</v>
      </c>
      <c r="H232" s="9">
        <v>0</v>
      </c>
      <c r="I232" s="9">
        <v>0</v>
      </c>
      <c r="J232" s="9">
        <v>0</v>
      </c>
      <c r="K232" s="9">
        <v>0</v>
      </c>
      <c r="L232" s="9">
        <v>0</v>
      </c>
      <c r="M232" s="9">
        <v>0</v>
      </c>
      <c r="N232" s="9">
        <v>0</v>
      </c>
      <c r="O232" s="9">
        <v>0</v>
      </c>
      <c r="P232" s="9">
        <v>0</v>
      </c>
      <c r="Q232" s="9">
        <v>0</v>
      </c>
      <c r="R232" s="9">
        <v>0</v>
      </c>
      <c r="S232" s="9">
        <v>0</v>
      </c>
      <c r="T232" s="9">
        <v>0</v>
      </c>
      <c r="U232" s="9">
        <v>0</v>
      </c>
      <c r="V232" s="9">
        <v>0</v>
      </c>
      <c r="W232" s="9">
        <v>0</v>
      </c>
      <c r="X232" s="9">
        <v>0</v>
      </c>
      <c r="Y232" s="9">
        <v>0</v>
      </c>
      <c r="Z232" s="9">
        <v>0</v>
      </c>
      <c r="AA232" s="9">
        <v>0</v>
      </c>
      <c r="AB232" s="9">
        <v>0</v>
      </c>
      <c r="AC232" s="9">
        <v>0</v>
      </c>
      <c r="AD232" s="9">
        <v>0</v>
      </c>
    </row>
    <row r="233" spans="1:30" ht="51" hidden="1" x14ac:dyDescent="0.2">
      <c r="A233" s="7">
        <v>1222</v>
      </c>
      <c r="B233" s="8" t="s">
        <v>592</v>
      </c>
      <c r="C233" s="8" t="s">
        <v>338</v>
      </c>
      <c r="D233" s="9">
        <v>0.55232394366197191</v>
      </c>
      <c r="E233" s="8" t="s">
        <v>351</v>
      </c>
      <c r="F233" s="8" t="str">
        <f t="shared" si="3"/>
        <v>WK1</v>
      </c>
      <c r="G233" s="9">
        <v>0</v>
      </c>
      <c r="H233" s="9">
        <v>0</v>
      </c>
      <c r="I233" s="9">
        <v>0</v>
      </c>
      <c r="J233" s="9">
        <v>0</v>
      </c>
      <c r="K233" s="9">
        <v>0</v>
      </c>
      <c r="L233" s="9">
        <v>0</v>
      </c>
      <c r="M233" s="9">
        <v>0</v>
      </c>
      <c r="N233" s="9">
        <v>0.1</v>
      </c>
      <c r="O233" s="9">
        <v>0.25</v>
      </c>
      <c r="P233" s="9">
        <v>0.75</v>
      </c>
      <c r="Q233" s="9">
        <v>1</v>
      </c>
      <c r="R233" s="9">
        <v>1</v>
      </c>
      <c r="S233" s="9">
        <v>0.5</v>
      </c>
      <c r="T233" s="9">
        <v>0.5</v>
      </c>
      <c r="U233" s="9">
        <v>1</v>
      </c>
      <c r="V233" s="9">
        <v>1</v>
      </c>
      <c r="W233" s="9">
        <v>0.5</v>
      </c>
      <c r="X233" s="9">
        <v>0.5</v>
      </c>
      <c r="Y233" s="9">
        <v>0</v>
      </c>
      <c r="Z233" s="9">
        <v>0</v>
      </c>
      <c r="AA233" s="9">
        <v>0</v>
      </c>
      <c r="AB233" s="9">
        <v>0</v>
      </c>
      <c r="AC233" s="9">
        <v>0</v>
      </c>
      <c r="AD233" s="9">
        <v>0</v>
      </c>
    </row>
    <row r="234" spans="1:30" ht="38.25" hidden="1" x14ac:dyDescent="0.2">
      <c r="A234" s="7">
        <v>1223</v>
      </c>
      <c r="B234" s="8" t="s">
        <v>247</v>
      </c>
      <c r="C234" s="8" t="s">
        <v>338</v>
      </c>
      <c r="D234" s="9">
        <v>0.10299999999999999</v>
      </c>
      <c r="E234" s="8" t="s">
        <v>352</v>
      </c>
      <c r="F234" s="8" t="str">
        <f t="shared" si="3"/>
        <v>WK1</v>
      </c>
      <c r="G234" s="9">
        <v>0</v>
      </c>
      <c r="H234" s="9">
        <v>0</v>
      </c>
      <c r="I234" s="9">
        <v>0</v>
      </c>
      <c r="J234" s="9">
        <v>0</v>
      </c>
      <c r="K234" s="9">
        <v>0</v>
      </c>
      <c r="L234" s="9">
        <v>0</v>
      </c>
      <c r="M234" s="9">
        <v>0</v>
      </c>
      <c r="N234" s="9">
        <v>0.1</v>
      </c>
      <c r="O234" s="9">
        <v>0.25</v>
      </c>
      <c r="P234" s="9">
        <v>0.75</v>
      </c>
      <c r="Q234" s="9">
        <v>1</v>
      </c>
      <c r="R234" s="9">
        <v>1</v>
      </c>
      <c r="S234" s="9">
        <v>0.5</v>
      </c>
      <c r="T234" s="9">
        <v>0.5</v>
      </c>
      <c r="U234" s="9">
        <v>1</v>
      </c>
      <c r="V234" s="9">
        <v>1</v>
      </c>
      <c r="W234" s="9">
        <v>0.5</v>
      </c>
      <c r="X234" s="9">
        <v>0.5</v>
      </c>
      <c r="Y234" s="9">
        <v>0</v>
      </c>
      <c r="Z234" s="9">
        <v>0</v>
      </c>
      <c r="AA234" s="9">
        <v>0</v>
      </c>
      <c r="AB234" s="9">
        <v>0</v>
      </c>
      <c r="AC234" s="9">
        <v>0</v>
      </c>
      <c r="AD234" s="9">
        <v>0</v>
      </c>
    </row>
    <row r="235" spans="1:30" ht="38.25" hidden="1" x14ac:dyDescent="0.2">
      <c r="A235" s="9">
        <v>1223</v>
      </c>
      <c r="B235" s="8" t="s">
        <v>247</v>
      </c>
      <c r="C235" s="8" t="s">
        <v>338</v>
      </c>
      <c r="D235" s="9">
        <v>0.10299999999999999</v>
      </c>
      <c r="E235" s="8" t="s">
        <v>594</v>
      </c>
      <c r="F235" s="8" t="str">
        <f t="shared" si="3"/>
        <v>Wk2</v>
      </c>
      <c r="G235" s="9">
        <v>0</v>
      </c>
      <c r="H235" s="9">
        <v>0</v>
      </c>
      <c r="I235" s="9">
        <v>0</v>
      </c>
      <c r="J235" s="9">
        <v>0</v>
      </c>
      <c r="K235" s="9">
        <v>0</v>
      </c>
      <c r="L235" s="9">
        <v>0</v>
      </c>
      <c r="M235" s="9">
        <v>0</v>
      </c>
      <c r="N235" s="9">
        <v>0</v>
      </c>
      <c r="O235" s="9">
        <v>0</v>
      </c>
      <c r="P235" s="9">
        <v>0</v>
      </c>
      <c r="Q235" s="9">
        <v>0</v>
      </c>
      <c r="R235" s="9">
        <v>0</v>
      </c>
      <c r="S235" s="9">
        <v>0</v>
      </c>
      <c r="T235" s="9">
        <v>0</v>
      </c>
      <c r="U235" s="9">
        <v>0</v>
      </c>
      <c r="V235" s="9">
        <v>0</v>
      </c>
      <c r="W235" s="9">
        <v>0</v>
      </c>
      <c r="X235" s="9">
        <v>0</v>
      </c>
      <c r="Y235" s="9">
        <v>0</v>
      </c>
      <c r="Z235" s="9">
        <v>0</v>
      </c>
      <c r="AA235" s="9">
        <v>0</v>
      </c>
      <c r="AB235" s="9">
        <v>0</v>
      </c>
      <c r="AC235" s="9">
        <v>0</v>
      </c>
      <c r="AD235" s="9">
        <v>0</v>
      </c>
    </row>
    <row r="236" spans="1:30" ht="38.25" hidden="1" x14ac:dyDescent="0.2">
      <c r="A236" s="7">
        <v>1224</v>
      </c>
      <c r="B236" s="8" t="s">
        <v>274</v>
      </c>
      <c r="C236" s="8" t="s">
        <v>353</v>
      </c>
      <c r="D236" s="9">
        <v>0.18984126984457136</v>
      </c>
      <c r="E236" s="8" t="s">
        <v>354</v>
      </c>
      <c r="F236" s="8" t="str">
        <f t="shared" si="3"/>
        <v>WK1</v>
      </c>
      <c r="G236" s="9">
        <v>1</v>
      </c>
      <c r="H236" s="9">
        <v>1</v>
      </c>
      <c r="I236" s="9">
        <v>1</v>
      </c>
      <c r="J236" s="9">
        <v>1</v>
      </c>
      <c r="K236" s="9">
        <v>1</v>
      </c>
      <c r="L236" s="9">
        <v>1</v>
      </c>
      <c r="M236" s="9">
        <v>1</v>
      </c>
      <c r="N236" s="9">
        <v>0.5</v>
      </c>
      <c r="O236" s="9">
        <v>0.25</v>
      </c>
      <c r="P236" s="9">
        <v>0</v>
      </c>
      <c r="Q236" s="9">
        <v>0</v>
      </c>
      <c r="R236" s="9">
        <v>0</v>
      </c>
      <c r="S236" s="9">
        <v>0</v>
      </c>
      <c r="T236" s="9">
        <v>0</v>
      </c>
      <c r="U236" s="9">
        <v>0</v>
      </c>
      <c r="V236" s="9">
        <v>0</v>
      </c>
      <c r="W236" s="9">
        <v>0</v>
      </c>
      <c r="X236" s="9">
        <v>0</v>
      </c>
      <c r="Y236" s="9">
        <v>0</v>
      </c>
      <c r="Z236" s="9">
        <v>0</v>
      </c>
      <c r="AA236" s="9">
        <v>0</v>
      </c>
      <c r="AB236" s="9">
        <v>0</v>
      </c>
      <c r="AC236" s="9">
        <v>0.25</v>
      </c>
      <c r="AD236" s="9">
        <v>0.75</v>
      </c>
    </row>
    <row r="237" spans="1:30" ht="38.25" hidden="1" x14ac:dyDescent="0.2">
      <c r="A237" s="7">
        <v>1225</v>
      </c>
      <c r="B237" s="8" t="s">
        <v>418</v>
      </c>
      <c r="C237" s="8" t="s">
        <v>353</v>
      </c>
      <c r="D237" s="9">
        <v>0.12583025830258301</v>
      </c>
      <c r="E237" s="8" t="s">
        <v>595</v>
      </c>
      <c r="F237" s="8" t="str">
        <f t="shared" si="3"/>
        <v>WK1</v>
      </c>
      <c r="G237" s="9">
        <v>0</v>
      </c>
      <c r="H237" s="9">
        <v>0</v>
      </c>
      <c r="I237" s="9">
        <v>0</v>
      </c>
      <c r="J237" s="9">
        <v>0</v>
      </c>
      <c r="K237" s="9">
        <v>0</v>
      </c>
      <c r="L237" s="9">
        <v>0</v>
      </c>
      <c r="M237" s="9">
        <v>0</v>
      </c>
      <c r="N237" s="9">
        <v>0</v>
      </c>
      <c r="O237" s="9">
        <v>0</v>
      </c>
      <c r="P237" s="9">
        <v>1</v>
      </c>
      <c r="Q237" s="9">
        <v>1</v>
      </c>
      <c r="R237" s="9">
        <v>1</v>
      </c>
      <c r="S237" s="9">
        <v>1</v>
      </c>
      <c r="T237" s="9">
        <v>1</v>
      </c>
      <c r="U237" s="9">
        <v>1</v>
      </c>
      <c r="V237" s="9">
        <v>1</v>
      </c>
      <c r="W237" s="9">
        <v>1</v>
      </c>
      <c r="X237" s="9">
        <v>0</v>
      </c>
      <c r="Y237" s="9">
        <v>0</v>
      </c>
      <c r="Z237" s="9">
        <v>0</v>
      </c>
      <c r="AA237" s="9">
        <v>0</v>
      </c>
      <c r="AB237" s="9">
        <v>0</v>
      </c>
      <c r="AC237" s="9">
        <v>0</v>
      </c>
      <c r="AD237" s="9">
        <v>0</v>
      </c>
    </row>
    <row r="238" spans="1:30" ht="51" hidden="1" x14ac:dyDescent="0.2">
      <c r="A238" s="7">
        <v>1226</v>
      </c>
      <c r="B238" s="8" t="s">
        <v>420</v>
      </c>
      <c r="C238" s="8" t="s">
        <v>353</v>
      </c>
      <c r="D238" s="9">
        <v>0.11365313653136529</v>
      </c>
      <c r="E238" s="8" t="s">
        <v>596</v>
      </c>
      <c r="F238" s="8" t="str">
        <f t="shared" si="3"/>
        <v>WK1</v>
      </c>
      <c r="G238" s="9">
        <v>0</v>
      </c>
      <c r="H238" s="9">
        <v>0</v>
      </c>
      <c r="I238" s="9">
        <v>0</v>
      </c>
      <c r="J238" s="9">
        <v>0</v>
      </c>
      <c r="K238" s="9">
        <v>0</v>
      </c>
      <c r="L238" s="9">
        <v>0</v>
      </c>
      <c r="M238" s="9">
        <v>0</v>
      </c>
      <c r="N238" s="9">
        <v>0</v>
      </c>
      <c r="O238" s="9">
        <v>0</v>
      </c>
      <c r="P238" s="9">
        <v>1</v>
      </c>
      <c r="Q238" s="9">
        <v>1</v>
      </c>
      <c r="R238" s="9">
        <v>1</v>
      </c>
      <c r="S238" s="9">
        <v>1</v>
      </c>
      <c r="T238" s="9">
        <v>1</v>
      </c>
      <c r="U238" s="9">
        <v>1</v>
      </c>
      <c r="V238" s="9">
        <v>1</v>
      </c>
      <c r="W238" s="9">
        <v>1</v>
      </c>
      <c r="X238" s="9">
        <v>0</v>
      </c>
      <c r="Y238" s="9">
        <v>0</v>
      </c>
      <c r="Z238" s="9">
        <v>0</v>
      </c>
      <c r="AA238" s="9">
        <v>0</v>
      </c>
      <c r="AB238" s="9">
        <v>0</v>
      </c>
      <c r="AC238" s="9">
        <v>0</v>
      </c>
      <c r="AD238" s="9">
        <v>0</v>
      </c>
    </row>
    <row r="239" spans="1:30" ht="38.25" hidden="1" x14ac:dyDescent="0.2">
      <c r="A239" s="7">
        <v>1227</v>
      </c>
      <c r="B239" s="8" t="s">
        <v>370</v>
      </c>
      <c r="C239" s="8" t="s">
        <v>353</v>
      </c>
      <c r="D239" s="9">
        <v>0.11365313653136529</v>
      </c>
      <c r="E239" s="8" t="s">
        <v>597</v>
      </c>
      <c r="F239" s="8" t="str">
        <f t="shared" si="3"/>
        <v>WK1</v>
      </c>
      <c r="G239" s="9">
        <v>0</v>
      </c>
      <c r="H239" s="9">
        <v>0</v>
      </c>
      <c r="I239" s="9">
        <v>0</v>
      </c>
      <c r="J239" s="9">
        <v>0</v>
      </c>
      <c r="K239" s="9">
        <v>0</v>
      </c>
      <c r="L239" s="9">
        <v>0</v>
      </c>
      <c r="M239" s="9">
        <v>0</v>
      </c>
      <c r="N239" s="9">
        <v>0</v>
      </c>
      <c r="O239" s="9">
        <v>0</v>
      </c>
      <c r="P239" s="9">
        <v>1</v>
      </c>
      <c r="Q239" s="9">
        <v>1</v>
      </c>
      <c r="R239" s="9">
        <v>1</v>
      </c>
      <c r="S239" s="9">
        <v>1</v>
      </c>
      <c r="T239" s="9">
        <v>1</v>
      </c>
      <c r="U239" s="9">
        <v>1</v>
      </c>
      <c r="V239" s="9">
        <v>1</v>
      </c>
      <c r="W239" s="9">
        <v>1</v>
      </c>
      <c r="X239" s="9">
        <v>0</v>
      </c>
      <c r="Y239" s="9">
        <v>0</v>
      </c>
      <c r="Z239" s="9">
        <v>0</v>
      </c>
      <c r="AA239" s="9">
        <v>0</v>
      </c>
      <c r="AB239" s="9">
        <v>0</v>
      </c>
      <c r="AC239" s="9">
        <v>0</v>
      </c>
      <c r="AD239" s="9">
        <v>0</v>
      </c>
    </row>
    <row r="240" spans="1:30" ht="51" hidden="1" x14ac:dyDescent="0.2">
      <c r="A240" s="7">
        <v>1228</v>
      </c>
      <c r="B240" s="8" t="s">
        <v>286</v>
      </c>
      <c r="C240" s="8" t="s">
        <v>353</v>
      </c>
      <c r="D240" s="9">
        <v>0.12100000000000001</v>
      </c>
      <c r="E240" s="8" t="s">
        <v>355</v>
      </c>
      <c r="F240" s="8" t="str">
        <f t="shared" si="3"/>
        <v>WK1</v>
      </c>
      <c r="G240" s="9">
        <v>0</v>
      </c>
      <c r="H240" s="9">
        <v>0</v>
      </c>
      <c r="I240" s="9">
        <v>0</v>
      </c>
      <c r="J240" s="9">
        <v>0</v>
      </c>
      <c r="K240" s="9">
        <v>0</v>
      </c>
      <c r="L240" s="9">
        <v>0</v>
      </c>
      <c r="M240" s="9">
        <v>0</v>
      </c>
      <c r="N240" s="9">
        <v>0</v>
      </c>
      <c r="O240" s="9">
        <v>0</v>
      </c>
      <c r="P240" s="9">
        <v>1</v>
      </c>
      <c r="Q240" s="9">
        <v>1</v>
      </c>
      <c r="R240" s="9">
        <v>1</v>
      </c>
      <c r="S240" s="9">
        <v>1</v>
      </c>
      <c r="T240" s="9">
        <v>1</v>
      </c>
      <c r="U240" s="9">
        <v>1</v>
      </c>
      <c r="V240" s="9">
        <v>1</v>
      </c>
      <c r="W240" s="9">
        <v>1</v>
      </c>
      <c r="X240" s="9">
        <v>0</v>
      </c>
      <c r="Y240" s="9">
        <v>0</v>
      </c>
      <c r="Z240" s="9">
        <v>0</v>
      </c>
      <c r="AA240" s="9">
        <v>0</v>
      </c>
      <c r="AB240" s="9">
        <v>0</v>
      </c>
      <c r="AC240" s="9">
        <v>0</v>
      </c>
      <c r="AD240" s="9">
        <v>0</v>
      </c>
    </row>
    <row r="241" spans="1:30" ht="51" hidden="1" x14ac:dyDescent="0.2">
      <c r="A241" s="7">
        <v>1229</v>
      </c>
      <c r="B241" s="8" t="s">
        <v>367</v>
      </c>
      <c r="C241" s="8" t="s">
        <v>353</v>
      </c>
      <c r="D241" s="9">
        <v>0.05</v>
      </c>
      <c r="E241" s="8" t="s">
        <v>356</v>
      </c>
      <c r="F241" s="8" t="str">
        <f t="shared" si="3"/>
        <v>WK1</v>
      </c>
      <c r="G241" s="9">
        <v>0</v>
      </c>
      <c r="H241" s="9">
        <v>0</v>
      </c>
      <c r="I241" s="9">
        <v>0</v>
      </c>
      <c r="J241" s="9">
        <v>0</v>
      </c>
      <c r="K241" s="9">
        <v>0</v>
      </c>
      <c r="L241" s="9">
        <v>0</v>
      </c>
      <c r="M241" s="9">
        <v>0</v>
      </c>
      <c r="N241" s="9">
        <v>0</v>
      </c>
      <c r="O241" s="9">
        <v>0</v>
      </c>
      <c r="P241" s="9">
        <v>1</v>
      </c>
      <c r="Q241" s="9">
        <v>1</v>
      </c>
      <c r="R241" s="9">
        <v>1</v>
      </c>
      <c r="S241" s="9">
        <v>1</v>
      </c>
      <c r="T241" s="9">
        <v>1</v>
      </c>
      <c r="U241" s="9">
        <v>1</v>
      </c>
      <c r="V241" s="9">
        <v>1</v>
      </c>
      <c r="W241" s="9">
        <v>1</v>
      </c>
      <c r="X241" s="9">
        <v>0</v>
      </c>
      <c r="Y241" s="9">
        <v>0</v>
      </c>
      <c r="Z241" s="9">
        <v>0</v>
      </c>
      <c r="AA241" s="9">
        <v>0</v>
      </c>
      <c r="AB241" s="9">
        <v>0</v>
      </c>
      <c r="AC241" s="9">
        <v>0</v>
      </c>
      <c r="AD241" s="9">
        <v>0</v>
      </c>
    </row>
    <row r="242" spans="1:30" ht="51" hidden="1" x14ac:dyDescent="0.2">
      <c r="A242" s="7">
        <v>1230</v>
      </c>
      <c r="B242" s="8" t="s">
        <v>127</v>
      </c>
      <c r="C242" s="8" t="s">
        <v>353</v>
      </c>
      <c r="D242" s="9">
        <v>0.13</v>
      </c>
      <c r="E242" s="8" t="s">
        <v>357</v>
      </c>
      <c r="F242" s="8" t="str">
        <f t="shared" si="3"/>
        <v>WK1</v>
      </c>
      <c r="G242" s="9">
        <v>0</v>
      </c>
      <c r="H242" s="9">
        <v>0</v>
      </c>
      <c r="I242" s="9">
        <v>0</v>
      </c>
      <c r="J242" s="9">
        <v>0</v>
      </c>
      <c r="K242" s="9">
        <v>0</v>
      </c>
      <c r="L242" s="9">
        <v>0</v>
      </c>
      <c r="M242" s="9">
        <v>0</v>
      </c>
      <c r="N242" s="9">
        <v>0</v>
      </c>
      <c r="O242" s="9">
        <v>0</v>
      </c>
      <c r="P242" s="9">
        <v>1</v>
      </c>
      <c r="Q242" s="9">
        <v>1</v>
      </c>
      <c r="R242" s="9">
        <v>1</v>
      </c>
      <c r="S242" s="9">
        <v>1</v>
      </c>
      <c r="T242" s="9">
        <v>1</v>
      </c>
      <c r="U242" s="9">
        <v>1</v>
      </c>
      <c r="V242" s="9">
        <v>1</v>
      </c>
      <c r="W242" s="9">
        <v>1</v>
      </c>
      <c r="X242" s="9">
        <v>0</v>
      </c>
      <c r="Y242" s="9">
        <v>0</v>
      </c>
      <c r="Z242" s="9">
        <v>0</v>
      </c>
      <c r="AA242" s="9">
        <v>0</v>
      </c>
      <c r="AB242" s="9">
        <v>0</v>
      </c>
      <c r="AC242" s="9">
        <v>0</v>
      </c>
      <c r="AD242" s="9">
        <v>0</v>
      </c>
    </row>
    <row r="243" spans="1:30" ht="38.25" hidden="1" x14ac:dyDescent="0.2">
      <c r="A243" s="7">
        <v>1231</v>
      </c>
      <c r="B243" s="8" t="s">
        <v>172</v>
      </c>
      <c r="C243" s="8" t="s">
        <v>353</v>
      </c>
      <c r="D243" s="9">
        <v>0.18309859154929581</v>
      </c>
      <c r="E243" s="8" t="s">
        <v>358</v>
      </c>
      <c r="F243" s="8" t="str">
        <f t="shared" si="3"/>
        <v>WK1</v>
      </c>
      <c r="G243" s="9">
        <v>0</v>
      </c>
      <c r="H243" s="9">
        <v>0</v>
      </c>
      <c r="I243" s="9">
        <v>0</v>
      </c>
      <c r="J243" s="9">
        <v>0</v>
      </c>
      <c r="K243" s="9">
        <v>0</v>
      </c>
      <c r="L243" s="9">
        <v>0</v>
      </c>
      <c r="M243" s="9">
        <v>0</v>
      </c>
      <c r="N243" s="9">
        <v>0.1</v>
      </c>
      <c r="O243" s="9">
        <v>0.25</v>
      </c>
      <c r="P243" s="9">
        <v>0.75</v>
      </c>
      <c r="Q243" s="9">
        <v>1</v>
      </c>
      <c r="R243" s="9">
        <v>1</v>
      </c>
      <c r="S243" s="9">
        <v>0.5</v>
      </c>
      <c r="T243" s="9">
        <v>0.5</v>
      </c>
      <c r="U243" s="9">
        <v>1</v>
      </c>
      <c r="V243" s="9">
        <v>1</v>
      </c>
      <c r="W243" s="9">
        <v>0.5</v>
      </c>
      <c r="X243" s="9">
        <v>0.5</v>
      </c>
      <c r="Y243" s="9">
        <v>0</v>
      </c>
      <c r="Z243" s="9">
        <v>0</v>
      </c>
      <c r="AA243" s="9">
        <v>0</v>
      </c>
      <c r="AB243" s="9">
        <v>0</v>
      </c>
      <c r="AC243" s="9">
        <v>0</v>
      </c>
      <c r="AD243" s="9">
        <v>0</v>
      </c>
    </row>
    <row r="244" spans="1:30" ht="51" x14ac:dyDescent="0.2">
      <c r="A244" s="7">
        <v>1232</v>
      </c>
      <c r="B244" s="8" t="s">
        <v>104</v>
      </c>
      <c r="C244" s="8" t="s">
        <v>353</v>
      </c>
      <c r="D244" s="9">
        <v>0.1406060606060606</v>
      </c>
      <c r="E244" s="8" t="s">
        <v>359</v>
      </c>
      <c r="F244" s="8" t="str">
        <f t="shared" si="3"/>
        <v>WK1</v>
      </c>
      <c r="G244" s="9">
        <v>0</v>
      </c>
      <c r="H244" s="9">
        <v>0</v>
      </c>
      <c r="I244" s="9">
        <v>0</v>
      </c>
      <c r="J244" s="9">
        <v>0</v>
      </c>
      <c r="K244" s="9">
        <v>0</v>
      </c>
      <c r="L244" s="9">
        <v>0</v>
      </c>
      <c r="M244" s="9">
        <v>0.25</v>
      </c>
      <c r="N244" s="9">
        <v>1</v>
      </c>
      <c r="O244" s="9">
        <v>1</v>
      </c>
      <c r="P244" s="9">
        <v>0.25</v>
      </c>
      <c r="Q244" s="9">
        <v>0</v>
      </c>
      <c r="R244" s="9">
        <v>0.25</v>
      </c>
      <c r="S244" s="9">
        <v>1</v>
      </c>
      <c r="T244" s="9">
        <v>1</v>
      </c>
      <c r="U244" s="9">
        <v>0.5</v>
      </c>
      <c r="V244" s="9">
        <v>0</v>
      </c>
      <c r="W244" s="9">
        <v>0</v>
      </c>
      <c r="X244" s="9">
        <v>0.5</v>
      </c>
      <c r="Y244" s="9">
        <v>1</v>
      </c>
      <c r="Z244" s="9">
        <v>1</v>
      </c>
      <c r="AA244" s="9">
        <v>0.5</v>
      </c>
      <c r="AB244" s="9">
        <v>0</v>
      </c>
      <c r="AC244" s="9">
        <v>0</v>
      </c>
      <c r="AD244" s="9">
        <v>0</v>
      </c>
    </row>
    <row r="245" spans="1:30" ht="38.25" hidden="1" x14ac:dyDescent="0.2">
      <c r="A245" s="7">
        <v>1233</v>
      </c>
      <c r="B245" s="8" t="s">
        <v>459</v>
      </c>
      <c r="C245" s="8" t="s">
        <v>353</v>
      </c>
      <c r="D245" s="9">
        <v>0.20848484848484858</v>
      </c>
      <c r="E245" s="8" t="s">
        <v>598</v>
      </c>
      <c r="F245" s="8" t="str">
        <f t="shared" si="3"/>
        <v>WK1</v>
      </c>
      <c r="G245" s="9">
        <v>0</v>
      </c>
      <c r="H245" s="9">
        <v>0</v>
      </c>
      <c r="I245" s="9">
        <v>0</v>
      </c>
      <c r="J245" s="9">
        <v>0</v>
      </c>
      <c r="K245" s="9">
        <v>0</v>
      </c>
      <c r="L245" s="9">
        <v>0</v>
      </c>
      <c r="M245" s="9">
        <v>0.25</v>
      </c>
      <c r="N245" s="9">
        <v>1</v>
      </c>
      <c r="O245" s="9">
        <v>1</v>
      </c>
      <c r="P245" s="9">
        <v>0.25</v>
      </c>
      <c r="Q245" s="9">
        <v>0</v>
      </c>
      <c r="R245" s="9">
        <v>0.25</v>
      </c>
      <c r="S245" s="9">
        <v>1</v>
      </c>
      <c r="T245" s="9">
        <v>1</v>
      </c>
      <c r="U245" s="9">
        <v>0.5</v>
      </c>
      <c r="V245" s="9">
        <v>0</v>
      </c>
      <c r="W245" s="9">
        <v>0</v>
      </c>
      <c r="X245" s="9">
        <v>0.5</v>
      </c>
      <c r="Y245" s="9">
        <v>1</v>
      </c>
      <c r="Z245" s="9">
        <v>1</v>
      </c>
      <c r="AA245" s="9">
        <v>0.5</v>
      </c>
      <c r="AB245" s="9">
        <v>0</v>
      </c>
      <c r="AC245" s="9">
        <v>0</v>
      </c>
      <c r="AD245" s="9">
        <v>0</v>
      </c>
    </row>
    <row r="246" spans="1:30" ht="38.25" hidden="1" x14ac:dyDescent="0.2">
      <c r="A246" s="7">
        <v>1234</v>
      </c>
      <c r="B246" s="8" t="s">
        <v>423</v>
      </c>
      <c r="C246" s="8" t="s">
        <v>353</v>
      </c>
      <c r="D246" s="9">
        <v>0.11</v>
      </c>
      <c r="E246" s="8" t="s">
        <v>599</v>
      </c>
      <c r="F246" s="8" t="str">
        <f t="shared" si="3"/>
        <v>WK1</v>
      </c>
      <c r="G246" s="9">
        <v>0</v>
      </c>
      <c r="H246" s="9">
        <v>0</v>
      </c>
      <c r="I246" s="9">
        <v>0</v>
      </c>
      <c r="J246" s="9">
        <v>0</v>
      </c>
      <c r="K246" s="9">
        <v>0</v>
      </c>
      <c r="L246" s="9">
        <v>0</v>
      </c>
      <c r="M246" s="9">
        <v>0</v>
      </c>
      <c r="N246" s="9">
        <v>0</v>
      </c>
      <c r="O246" s="9">
        <v>0</v>
      </c>
      <c r="P246" s="9">
        <v>0</v>
      </c>
      <c r="Q246" s="9">
        <v>0</v>
      </c>
      <c r="R246" s="9">
        <v>0</v>
      </c>
      <c r="S246" s="9">
        <v>0</v>
      </c>
      <c r="T246" s="9">
        <v>0</v>
      </c>
      <c r="U246" s="9">
        <v>0</v>
      </c>
      <c r="V246" s="9">
        <v>0</v>
      </c>
      <c r="W246" s="9">
        <v>0</v>
      </c>
      <c r="X246" s="9">
        <v>0</v>
      </c>
      <c r="Y246" s="9">
        <v>0</v>
      </c>
      <c r="Z246" s="9">
        <v>0</v>
      </c>
      <c r="AA246" s="9">
        <v>0</v>
      </c>
      <c r="AB246" s="9">
        <v>0</v>
      </c>
      <c r="AC246" s="9">
        <v>0</v>
      </c>
      <c r="AD246" s="9">
        <v>0</v>
      </c>
    </row>
    <row r="247" spans="1:30" ht="51" hidden="1" x14ac:dyDescent="0.2">
      <c r="A247" s="7">
        <v>1235</v>
      </c>
      <c r="B247" s="8" t="s">
        <v>106</v>
      </c>
      <c r="C247" s="8" t="s">
        <v>353</v>
      </c>
      <c r="D247" s="9">
        <v>4.8125000000000001E-2</v>
      </c>
      <c r="E247" s="8" t="s">
        <v>360</v>
      </c>
      <c r="F247" s="8" t="str">
        <f t="shared" si="3"/>
        <v>WK1</v>
      </c>
      <c r="G247" s="9">
        <v>0</v>
      </c>
      <c r="H247" s="9">
        <v>0</v>
      </c>
      <c r="I247" s="9">
        <v>0</v>
      </c>
      <c r="J247" s="9">
        <v>0</v>
      </c>
      <c r="K247" s="9">
        <v>0</v>
      </c>
      <c r="L247" s="9">
        <v>0</v>
      </c>
      <c r="M247" s="9">
        <v>0</v>
      </c>
      <c r="N247" s="9">
        <v>0</v>
      </c>
      <c r="O247" s="9">
        <v>0</v>
      </c>
      <c r="P247" s="9">
        <v>0.75</v>
      </c>
      <c r="Q247" s="9">
        <v>1</v>
      </c>
      <c r="R247" s="9">
        <v>1</v>
      </c>
      <c r="S247" s="9">
        <v>0.75</v>
      </c>
      <c r="T247" s="9">
        <v>0.75</v>
      </c>
      <c r="U247" s="9">
        <v>1</v>
      </c>
      <c r="V247" s="9">
        <v>1</v>
      </c>
      <c r="W247" s="9">
        <v>1</v>
      </c>
      <c r="X247" s="9">
        <v>0.75</v>
      </c>
      <c r="Y247" s="9">
        <v>0</v>
      </c>
      <c r="Z247" s="9">
        <v>0</v>
      </c>
      <c r="AA247" s="9">
        <v>0</v>
      </c>
      <c r="AB247" s="9">
        <v>0</v>
      </c>
      <c r="AC247" s="9">
        <v>0</v>
      </c>
      <c r="AD247" s="9">
        <v>0</v>
      </c>
    </row>
    <row r="248" spans="1:30" ht="38.25" hidden="1" x14ac:dyDescent="0.2">
      <c r="A248" s="7">
        <v>1237</v>
      </c>
      <c r="B248" s="8" t="s">
        <v>275</v>
      </c>
      <c r="C248" s="8" t="s">
        <v>353</v>
      </c>
      <c r="D248" s="9">
        <v>8.5555555555555551E-2</v>
      </c>
      <c r="E248" s="8" t="s">
        <v>361</v>
      </c>
      <c r="F248" s="8" t="str">
        <f t="shared" si="3"/>
        <v>Wk1</v>
      </c>
      <c r="G248" s="9">
        <v>0</v>
      </c>
      <c r="H248" s="9">
        <v>0</v>
      </c>
      <c r="I248" s="9">
        <v>0</v>
      </c>
      <c r="J248" s="9">
        <v>0</v>
      </c>
      <c r="K248" s="9">
        <v>0</v>
      </c>
      <c r="L248" s="9">
        <v>0</v>
      </c>
      <c r="M248" s="9">
        <v>0</v>
      </c>
      <c r="N248" s="9">
        <v>0.25</v>
      </c>
      <c r="O248" s="9">
        <v>0.5</v>
      </c>
      <c r="P248" s="9">
        <v>1</v>
      </c>
      <c r="Q248" s="9">
        <v>1</v>
      </c>
      <c r="R248" s="9">
        <v>1</v>
      </c>
      <c r="S248" s="9">
        <v>0.75</v>
      </c>
      <c r="T248" s="9">
        <v>0.75</v>
      </c>
      <c r="U248" s="9">
        <v>1</v>
      </c>
      <c r="V248" s="9">
        <v>1</v>
      </c>
      <c r="W248" s="9">
        <v>1</v>
      </c>
      <c r="X248" s="9">
        <v>0.5</v>
      </c>
      <c r="Y248" s="9">
        <v>0.25</v>
      </c>
      <c r="Z248" s="9">
        <v>0</v>
      </c>
      <c r="AA248" s="9">
        <v>0</v>
      </c>
      <c r="AB248" s="9">
        <v>0</v>
      </c>
      <c r="AC248" s="9">
        <v>0</v>
      </c>
      <c r="AD248" s="9">
        <v>0</v>
      </c>
    </row>
    <row r="249" spans="1:30" ht="38.25" hidden="1" x14ac:dyDescent="0.2">
      <c r="A249" s="7">
        <v>1238</v>
      </c>
      <c r="B249" s="8" t="s">
        <v>85</v>
      </c>
      <c r="C249" s="8" t="s">
        <v>353</v>
      </c>
      <c r="D249" s="9">
        <v>0.17</v>
      </c>
      <c r="E249" s="8" t="s">
        <v>362</v>
      </c>
      <c r="F249" s="8" t="str">
        <f t="shared" si="3"/>
        <v>Wk1</v>
      </c>
      <c r="G249" s="9">
        <v>0</v>
      </c>
      <c r="H249" s="9">
        <v>0</v>
      </c>
      <c r="I249" s="9">
        <v>0</v>
      </c>
      <c r="J249" s="9">
        <v>0</v>
      </c>
      <c r="K249" s="9">
        <v>0</v>
      </c>
      <c r="L249" s="9">
        <v>0</v>
      </c>
      <c r="M249" s="9">
        <v>0</v>
      </c>
      <c r="N249" s="9">
        <v>0</v>
      </c>
      <c r="O249" s="9">
        <v>0</v>
      </c>
      <c r="P249" s="9">
        <v>1</v>
      </c>
      <c r="Q249" s="9">
        <v>1</v>
      </c>
      <c r="R249" s="9">
        <v>1</v>
      </c>
      <c r="S249" s="9">
        <v>1</v>
      </c>
      <c r="T249" s="9">
        <v>1</v>
      </c>
      <c r="U249" s="9">
        <v>1</v>
      </c>
      <c r="V249" s="9">
        <v>1</v>
      </c>
      <c r="W249" s="9">
        <v>1</v>
      </c>
      <c r="X249" s="9">
        <v>0</v>
      </c>
      <c r="Y249" s="9">
        <v>0</v>
      </c>
      <c r="Z249" s="9">
        <v>0</v>
      </c>
      <c r="AA249" s="9">
        <v>0</v>
      </c>
      <c r="AB249" s="9">
        <v>0</v>
      </c>
      <c r="AC249" s="9">
        <v>0</v>
      </c>
      <c r="AD249" s="9">
        <v>0</v>
      </c>
    </row>
    <row r="250" spans="1:30" ht="51" hidden="1" x14ac:dyDescent="0.2">
      <c r="A250" s="7">
        <v>1239</v>
      </c>
      <c r="B250" s="8" t="s">
        <v>92</v>
      </c>
      <c r="C250" s="8" t="s">
        <v>353</v>
      </c>
      <c r="D250" s="9">
        <v>0.18309859154929581</v>
      </c>
      <c r="E250" s="8" t="s">
        <v>363</v>
      </c>
      <c r="F250" s="8" t="str">
        <f t="shared" si="3"/>
        <v>WK1</v>
      </c>
      <c r="G250" s="9">
        <v>0</v>
      </c>
      <c r="H250" s="9">
        <v>0</v>
      </c>
      <c r="I250" s="9">
        <v>0</v>
      </c>
      <c r="J250" s="9">
        <v>0</v>
      </c>
      <c r="K250" s="9">
        <v>0</v>
      </c>
      <c r="L250" s="9">
        <v>0</v>
      </c>
      <c r="M250" s="9">
        <v>0</v>
      </c>
      <c r="N250" s="9">
        <v>0.1</v>
      </c>
      <c r="O250" s="9">
        <v>0.25</v>
      </c>
      <c r="P250" s="9">
        <v>0.75</v>
      </c>
      <c r="Q250" s="9">
        <v>1</v>
      </c>
      <c r="R250" s="9">
        <v>1</v>
      </c>
      <c r="S250" s="9">
        <v>0.5</v>
      </c>
      <c r="T250" s="9">
        <v>0.5</v>
      </c>
      <c r="U250" s="9">
        <v>1</v>
      </c>
      <c r="V250" s="9">
        <v>1</v>
      </c>
      <c r="W250" s="9">
        <v>0.5</v>
      </c>
      <c r="X250" s="9">
        <v>0.5</v>
      </c>
      <c r="Y250" s="9">
        <v>0</v>
      </c>
      <c r="Z250" s="9">
        <v>0</v>
      </c>
      <c r="AA250" s="9">
        <v>0</v>
      </c>
      <c r="AB250" s="9">
        <v>0</v>
      </c>
      <c r="AC250" s="9">
        <v>0</v>
      </c>
      <c r="AD250" s="9">
        <v>0</v>
      </c>
    </row>
    <row r="251" spans="1:30" ht="38.25" hidden="1" x14ac:dyDescent="0.2">
      <c r="A251" s="7">
        <v>1240</v>
      </c>
      <c r="B251" s="8" t="s">
        <v>247</v>
      </c>
      <c r="C251" s="8" t="s">
        <v>353</v>
      </c>
      <c r="D251" s="9">
        <v>9.3144444444444432E-2</v>
      </c>
      <c r="E251" s="8" t="s">
        <v>253</v>
      </c>
      <c r="F251" s="8" t="str">
        <f t="shared" si="3"/>
        <v>WK1</v>
      </c>
      <c r="G251" s="9">
        <v>0</v>
      </c>
      <c r="H251" s="9">
        <v>0</v>
      </c>
      <c r="I251" s="9">
        <v>0</v>
      </c>
      <c r="J251" s="9">
        <v>0</v>
      </c>
      <c r="K251" s="9">
        <v>0</v>
      </c>
      <c r="L251" s="9">
        <v>0</v>
      </c>
      <c r="M251" s="9">
        <v>0</v>
      </c>
      <c r="N251" s="9">
        <v>0.25</v>
      </c>
      <c r="O251" s="9">
        <v>0.5</v>
      </c>
      <c r="P251" s="9">
        <v>1</v>
      </c>
      <c r="Q251" s="9">
        <v>1</v>
      </c>
      <c r="R251" s="9">
        <v>1</v>
      </c>
      <c r="S251" s="9">
        <v>0.75</v>
      </c>
      <c r="T251" s="9">
        <v>0.75</v>
      </c>
      <c r="U251" s="9">
        <v>1</v>
      </c>
      <c r="V251" s="9">
        <v>1</v>
      </c>
      <c r="W251" s="9">
        <v>1</v>
      </c>
      <c r="X251" s="9">
        <v>0.5</v>
      </c>
      <c r="Y251" s="9">
        <v>0.25</v>
      </c>
      <c r="Z251" s="9">
        <v>0</v>
      </c>
      <c r="AA251" s="9">
        <v>0</v>
      </c>
      <c r="AB251" s="9">
        <v>0</v>
      </c>
      <c r="AC251" s="9">
        <v>0</v>
      </c>
      <c r="AD251" s="9">
        <v>0</v>
      </c>
    </row>
    <row r="252" spans="1:30" ht="51" hidden="1" x14ac:dyDescent="0.2">
      <c r="A252" s="7">
        <v>1241</v>
      </c>
      <c r="B252" s="8" t="s">
        <v>273</v>
      </c>
      <c r="C252" s="8" t="s">
        <v>353</v>
      </c>
      <c r="D252" s="9">
        <v>0.11111111109333333</v>
      </c>
      <c r="E252" s="8" t="s">
        <v>254</v>
      </c>
      <c r="F252" s="8" t="str">
        <f t="shared" si="3"/>
        <v>WK1</v>
      </c>
      <c r="G252" s="9">
        <v>0</v>
      </c>
      <c r="H252" s="9">
        <v>0</v>
      </c>
      <c r="I252" s="9">
        <v>0</v>
      </c>
      <c r="J252" s="9">
        <v>0</v>
      </c>
      <c r="K252" s="9">
        <v>0</v>
      </c>
      <c r="L252" s="9">
        <v>0</v>
      </c>
      <c r="M252" s="9">
        <v>0.25</v>
      </c>
      <c r="N252" s="9">
        <v>1</v>
      </c>
      <c r="O252" s="9">
        <v>1</v>
      </c>
      <c r="P252" s="9">
        <v>0.25</v>
      </c>
      <c r="Q252" s="9">
        <v>0</v>
      </c>
      <c r="R252" s="9">
        <v>0.25</v>
      </c>
      <c r="S252" s="9">
        <v>1</v>
      </c>
      <c r="T252" s="9">
        <v>1</v>
      </c>
      <c r="U252" s="9">
        <v>0.5</v>
      </c>
      <c r="V252" s="9">
        <v>0</v>
      </c>
      <c r="W252" s="9">
        <v>0</v>
      </c>
      <c r="X252" s="9">
        <v>0.5</v>
      </c>
      <c r="Y252" s="9">
        <v>1</v>
      </c>
      <c r="Z252" s="9">
        <v>1</v>
      </c>
      <c r="AA252" s="9">
        <v>0.5</v>
      </c>
      <c r="AB252" s="9">
        <v>0</v>
      </c>
      <c r="AC252" s="9">
        <v>0</v>
      </c>
      <c r="AD252" s="9">
        <v>0</v>
      </c>
    </row>
    <row r="253" spans="1:30" ht="51" hidden="1" x14ac:dyDescent="0.2">
      <c r="A253" s="7">
        <v>1242</v>
      </c>
      <c r="B253" s="8" t="s">
        <v>127</v>
      </c>
      <c r="C253" s="8" t="s">
        <v>255</v>
      </c>
      <c r="D253" s="9">
        <v>0.14138686131386857</v>
      </c>
      <c r="E253" s="8" t="s">
        <v>339</v>
      </c>
      <c r="F253" s="8" t="str">
        <f t="shared" si="3"/>
        <v>WK1</v>
      </c>
      <c r="G253" s="9">
        <v>0</v>
      </c>
      <c r="H253" s="9">
        <v>0</v>
      </c>
      <c r="I253" s="9">
        <v>0</v>
      </c>
      <c r="J253" s="9">
        <v>0</v>
      </c>
      <c r="K253" s="9">
        <v>0</v>
      </c>
      <c r="L253" s="9">
        <v>0</v>
      </c>
      <c r="M253" s="9">
        <v>0</v>
      </c>
      <c r="N253" s="9">
        <v>0.1</v>
      </c>
      <c r="O253" s="9">
        <v>0.25</v>
      </c>
      <c r="P253" s="9">
        <v>0.75</v>
      </c>
      <c r="Q253" s="9">
        <v>1</v>
      </c>
      <c r="R253" s="9">
        <v>1</v>
      </c>
      <c r="S253" s="9">
        <v>0.5</v>
      </c>
      <c r="T253" s="9">
        <v>0.5</v>
      </c>
      <c r="U253" s="9">
        <v>1</v>
      </c>
      <c r="V253" s="9">
        <v>1</v>
      </c>
      <c r="W253" s="9">
        <v>0.5</v>
      </c>
      <c r="X253" s="9">
        <v>0.5</v>
      </c>
      <c r="Y253" s="9">
        <v>0</v>
      </c>
      <c r="Z253" s="9">
        <v>0</v>
      </c>
      <c r="AA253" s="9">
        <v>0</v>
      </c>
      <c r="AB253" s="9">
        <v>0</v>
      </c>
      <c r="AC253" s="9">
        <v>0</v>
      </c>
      <c r="AD253" s="9">
        <v>0</v>
      </c>
    </row>
    <row r="254" spans="1:30" ht="51" hidden="1" x14ac:dyDescent="0.2">
      <c r="A254" s="9">
        <v>1242</v>
      </c>
      <c r="B254" s="8" t="s">
        <v>127</v>
      </c>
      <c r="C254" s="8" t="s">
        <v>255</v>
      </c>
      <c r="D254" s="9">
        <v>0.14138686131386857</v>
      </c>
      <c r="E254" s="8" t="s">
        <v>575</v>
      </c>
      <c r="F254" s="8" t="str">
        <f t="shared" si="3"/>
        <v>Wk2</v>
      </c>
      <c r="G254" s="9">
        <v>0</v>
      </c>
      <c r="H254" s="9">
        <v>0</v>
      </c>
      <c r="I254" s="9">
        <v>0</v>
      </c>
      <c r="J254" s="9">
        <v>0</v>
      </c>
      <c r="K254" s="9">
        <v>0</v>
      </c>
      <c r="L254" s="9">
        <v>0</v>
      </c>
      <c r="M254" s="9">
        <v>0</v>
      </c>
      <c r="N254" s="9">
        <v>0</v>
      </c>
      <c r="O254" s="9">
        <v>0</v>
      </c>
      <c r="P254" s="9">
        <v>0.5</v>
      </c>
      <c r="Q254" s="9">
        <v>1</v>
      </c>
      <c r="R254" s="9">
        <v>1</v>
      </c>
      <c r="S254" s="9">
        <v>1</v>
      </c>
      <c r="T254" s="9">
        <v>0.75</v>
      </c>
      <c r="U254" s="9">
        <v>1</v>
      </c>
      <c r="V254" s="9">
        <v>0.75</v>
      </c>
      <c r="W254" s="9">
        <v>0</v>
      </c>
      <c r="X254" s="9">
        <v>0</v>
      </c>
      <c r="Y254" s="9">
        <v>0</v>
      </c>
      <c r="Z254" s="9">
        <v>0</v>
      </c>
      <c r="AA254" s="9">
        <v>0</v>
      </c>
      <c r="AB254" s="9">
        <v>0</v>
      </c>
      <c r="AC254" s="9">
        <v>0</v>
      </c>
      <c r="AD254" s="9">
        <v>0</v>
      </c>
    </row>
    <row r="255" spans="1:30" ht="51" hidden="1" x14ac:dyDescent="0.2">
      <c r="A255" s="7">
        <v>1243</v>
      </c>
      <c r="B255" s="8" t="s">
        <v>420</v>
      </c>
      <c r="C255" s="8" t="s">
        <v>255</v>
      </c>
      <c r="D255" s="9">
        <v>0.11</v>
      </c>
      <c r="E255" s="8" t="s">
        <v>576</v>
      </c>
      <c r="F255" s="8" t="str">
        <f t="shared" si="3"/>
        <v>WK1</v>
      </c>
      <c r="G255" s="9">
        <v>0</v>
      </c>
      <c r="H255" s="9">
        <v>0</v>
      </c>
      <c r="I255" s="9">
        <v>0</v>
      </c>
      <c r="J255" s="9">
        <v>0</v>
      </c>
      <c r="K255" s="9">
        <v>0</v>
      </c>
      <c r="L255" s="9">
        <v>0</v>
      </c>
      <c r="M255" s="9">
        <v>0</v>
      </c>
      <c r="N255" s="9">
        <v>0.25</v>
      </c>
      <c r="O255" s="9">
        <v>0.5</v>
      </c>
      <c r="P255" s="9">
        <v>1</v>
      </c>
      <c r="Q255" s="9">
        <v>1</v>
      </c>
      <c r="R255" s="9">
        <v>1</v>
      </c>
      <c r="S255" s="9">
        <v>0.75</v>
      </c>
      <c r="T255" s="9">
        <v>0.75</v>
      </c>
      <c r="U255" s="9">
        <v>1</v>
      </c>
      <c r="V255" s="9">
        <v>1</v>
      </c>
      <c r="W255" s="9">
        <v>1</v>
      </c>
      <c r="X255" s="9">
        <v>0.5</v>
      </c>
      <c r="Y255" s="9">
        <v>0.25</v>
      </c>
      <c r="Z255" s="9">
        <v>0</v>
      </c>
      <c r="AA255" s="9">
        <v>0</v>
      </c>
      <c r="AB255" s="9">
        <v>0</v>
      </c>
      <c r="AC255" s="9">
        <v>0</v>
      </c>
      <c r="AD255" s="9">
        <v>0</v>
      </c>
    </row>
    <row r="256" spans="1:30" ht="51" hidden="1" x14ac:dyDescent="0.2">
      <c r="A256" s="9">
        <v>1243</v>
      </c>
      <c r="B256" s="8" t="s">
        <v>420</v>
      </c>
      <c r="C256" s="8" t="s">
        <v>255</v>
      </c>
      <c r="D256" s="9">
        <v>0.11</v>
      </c>
      <c r="E256" s="8" t="s">
        <v>577</v>
      </c>
      <c r="F256" s="8" t="str">
        <f t="shared" si="3"/>
        <v>Wk2</v>
      </c>
      <c r="G256" s="9">
        <v>0</v>
      </c>
      <c r="H256" s="9">
        <v>0</v>
      </c>
      <c r="I256" s="9">
        <v>0</v>
      </c>
      <c r="J256" s="9">
        <v>0</v>
      </c>
      <c r="K256" s="9">
        <v>0</v>
      </c>
      <c r="L256" s="9">
        <v>0</v>
      </c>
      <c r="M256" s="9">
        <v>0</v>
      </c>
      <c r="N256" s="9">
        <v>0</v>
      </c>
      <c r="O256" s="9">
        <v>0</v>
      </c>
      <c r="P256" s="9">
        <v>0</v>
      </c>
      <c r="Q256" s="9">
        <v>0</v>
      </c>
      <c r="R256" s="9">
        <v>0</v>
      </c>
      <c r="S256" s="9">
        <v>0</v>
      </c>
      <c r="T256" s="9">
        <v>0</v>
      </c>
      <c r="U256" s="9">
        <v>0</v>
      </c>
      <c r="V256" s="9">
        <v>0</v>
      </c>
      <c r="W256" s="9">
        <v>0</v>
      </c>
      <c r="X256" s="9">
        <v>0</v>
      </c>
      <c r="Y256" s="9">
        <v>0</v>
      </c>
      <c r="Z256" s="9">
        <v>0</v>
      </c>
      <c r="AA256" s="9">
        <v>0</v>
      </c>
      <c r="AB256" s="9">
        <v>0</v>
      </c>
      <c r="AC256" s="9">
        <v>0</v>
      </c>
      <c r="AD256" s="9">
        <v>0</v>
      </c>
    </row>
    <row r="257" spans="1:30" ht="51" hidden="1" x14ac:dyDescent="0.2">
      <c r="A257" s="7">
        <v>1244</v>
      </c>
      <c r="B257" s="8" t="s">
        <v>367</v>
      </c>
      <c r="C257" s="8" t="s">
        <v>255</v>
      </c>
      <c r="D257" s="9">
        <v>5.2724358974358988E-2</v>
      </c>
      <c r="E257" s="8" t="s">
        <v>340</v>
      </c>
      <c r="F257" s="8" t="str">
        <f t="shared" si="3"/>
        <v>WK1</v>
      </c>
      <c r="G257" s="9">
        <v>0</v>
      </c>
      <c r="H257" s="9">
        <v>0</v>
      </c>
      <c r="I257" s="9">
        <v>0</v>
      </c>
      <c r="J257" s="9">
        <v>0</v>
      </c>
      <c r="K257" s="9">
        <v>0</v>
      </c>
      <c r="L257" s="9">
        <v>0</v>
      </c>
      <c r="M257" s="9">
        <v>0</v>
      </c>
      <c r="N257" s="9">
        <v>0.25</v>
      </c>
      <c r="O257" s="9">
        <v>0.5</v>
      </c>
      <c r="P257" s="9">
        <v>1</v>
      </c>
      <c r="Q257" s="9">
        <v>1</v>
      </c>
      <c r="R257" s="9">
        <v>1</v>
      </c>
      <c r="S257" s="9">
        <v>0.75</v>
      </c>
      <c r="T257" s="9">
        <v>0.75</v>
      </c>
      <c r="U257" s="9">
        <v>1</v>
      </c>
      <c r="V257" s="9">
        <v>1</v>
      </c>
      <c r="W257" s="9">
        <v>1</v>
      </c>
      <c r="X257" s="9">
        <v>0.5</v>
      </c>
      <c r="Y257" s="9">
        <v>0.25</v>
      </c>
      <c r="Z257" s="9">
        <v>0</v>
      </c>
      <c r="AA257" s="9">
        <v>0</v>
      </c>
      <c r="AB257" s="9">
        <v>0</v>
      </c>
      <c r="AC257" s="9">
        <v>0</v>
      </c>
      <c r="AD257" s="9">
        <v>0</v>
      </c>
    </row>
    <row r="258" spans="1:30" ht="51" hidden="1" x14ac:dyDescent="0.2">
      <c r="A258" s="9">
        <v>1244</v>
      </c>
      <c r="B258" s="8" t="s">
        <v>367</v>
      </c>
      <c r="C258" s="8" t="s">
        <v>255</v>
      </c>
      <c r="D258" s="9">
        <v>5.2724358974358988E-2</v>
      </c>
      <c r="E258" s="8" t="s">
        <v>578</v>
      </c>
      <c r="F258" s="8" t="str">
        <f t="shared" si="3"/>
        <v>Wk2</v>
      </c>
      <c r="G258" s="9">
        <v>0</v>
      </c>
      <c r="H258" s="9">
        <v>0</v>
      </c>
      <c r="I258" s="9">
        <v>0</v>
      </c>
      <c r="J258" s="9">
        <v>0</v>
      </c>
      <c r="K258" s="9">
        <v>0</v>
      </c>
      <c r="L258" s="9">
        <v>0</v>
      </c>
      <c r="M258" s="9">
        <v>0</v>
      </c>
      <c r="N258" s="9">
        <v>0</v>
      </c>
      <c r="O258" s="9">
        <v>0</v>
      </c>
      <c r="P258" s="9">
        <v>0.5</v>
      </c>
      <c r="Q258" s="9">
        <v>1</v>
      </c>
      <c r="R258" s="9">
        <v>1</v>
      </c>
      <c r="S258" s="9">
        <v>1</v>
      </c>
      <c r="T258" s="9">
        <v>0.75</v>
      </c>
      <c r="U258" s="9">
        <v>1</v>
      </c>
      <c r="V258" s="9">
        <v>0.75</v>
      </c>
      <c r="W258" s="9">
        <v>0</v>
      </c>
      <c r="X258" s="9">
        <v>0</v>
      </c>
      <c r="Y258" s="9">
        <v>0</v>
      </c>
      <c r="Z258" s="9">
        <v>0</v>
      </c>
      <c r="AA258" s="9">
        <v>0</v>
      </c>
      <c r="AB258" s="9">
        <v>0</v>
      </c>
      <c r="AC258" s="9">
        <v>0</v>
      </c>
      <c r="AD258" s="9">
        <v>0</v>
      </c>
    </row>
    <row r="259" spans="1:30" ht="51" x14ac:dyDescent="0.2">
      <c r="A259" s="7">
        <v>1245</v>
      </c>
      <c r="B259" s="8" t="s">
        <v>104</v>
      </c>
      <c r="C259" s="8" t="s">
        <v>255</v>
      </c>
      <c r="D259" s="9">
        <v>0.16228130597492771</v>
      </c>
      <c r="E259" s="8" t="s">
        <v>256</v>
      </c>
      <c r="F259" s="8" t="str">
        <f t="shared" si="3"/>
        <v>WK1</v>
      </c>
      <c r="G259" s="9">
        <v>0</v>
      </c>
      <c r="H259" s="9">
        <v>0</v>
      </c>
      <c r="I259" s="9">
        <v>0</v>
      </c>
      <c r="J259" s="9">
        <v>0</v>
      </c>
      <c r="K259" s="9">
        <v>0</v>
      </c>
      <c r="L259" s="9">
        <v>0</v>
      </c>
      <c r="M259" s="9">
        <v>0.25</v>
      </c>
      <c r="N259" s="9">
        <v>1</v>
      </c>
      <c r="O259" s="9">
        <v>1</v>
      </c>
      <c r="P259" s="9">
        <v>0.25</v>
      </c>
      <c r="Q259" s="9">
        <v>0</v>
      </c>
      <c r="R259" s="9">
        <v>0.25</v>
      </c>
      <c r="S259" s="9">
        <v>1</v>
      </c>
      <c r="T259" s="9">
        <v>1</v>
      </c>
      <c r="U259" s="9">
        <v>0.5</v>
      </c>
      <c r="V259" s="9">
        <v>0</v>
      </c>
      <c r="W259" s="9">
        <v>0</v>
      </c>
      <c r="X259" s="9">
        <v>0.5</v>
      </c>
      <c r="Y259" s="9">
        <v>1</v>
      </c>
      <c r="Z259" s="9">
        <v>1</v>
      </c>
      <c r="AA259" s="9">
        <v>0.5</v>
      </c>
      <c r="AB259" s="9">
        <v>0</v>
      </c>
      <c r="AC259" s="9">
        <v>0</v>
      </c>
      <c r="AD259" s="9">
        <v>0</v>
      </c>
    </row>
    <row r="260" spans="1:30" ht="51" hidden="1" x14ac:dyDescent="0.2">
      <c r="A260" s="9">
        <v>1245</v>
      </c>
      <c r="B260" s="8" t="s">
        <v>104</v>
      </c>
      <c r="C260" s="8" t="s">
        <v>255</v>
      </c>
      <c r="D260" s="9">
        <v>0.16228130597492771</v>
      </c>
      <c r="E260" s="8" t="s">
        <v>600</v>
      </c>
      <c r="F260" s="8" t="str">
        <f t="shared" si="3"/>
        <v>Wk2</v>
      </c>
      <c r="G260" s="9">
        <v>0</v>
      </c>
      <c r="H260" s="9">
        <v>0</v>
      </c>
      <c r="I260" s="9">
        <v>0</v>
      </c>
      <c r="J260" s="9">
        <v>0</v>
      </c>
      <c r="K260" s="9">
        <v>0</v>
      </c>
      <c r="L260" s="9">
        <v>0</v>
      </c>
      <c r="M260" s="9">
        <v>0</v>
      </c>
      <c r="N260" s="9">
        <v>0</v>
      </c>
      <c r="O260" s="9">
        <v>0</v>
      </c>
      <c r="P260" s="9">
        <v>0</v>
      </c>
      <c r="Q260" s="9">
        <v>0</v>
      </c>
      <c r="R260" s="9">
        <v>0</v>
      </c>
      <c r="S260" s="9">
        <v>0</v>
      </c>
      <c r="T260" s="9">
        <v>0</v>
      </c>
      <c r="U260" s="9">
        <v>0</v>
      </c>
      <c r="V260" s="9">
        <v>0</v>
      </c>
      <c r="W260" s="9">
        <v>0</v>
      </c>
      <c r="X260" s="9">
        <v>0</v>
      </c>
      <c r="Y260" s="9">
        <v>0</v>
      </c>
      <c r="Z260" s="9">
        <v>0</v>
      </c>
      <c r="AA260" s="9">
        <v>0</v>
      </c>
      <c r="AB260" s="9">
        <v>0</v>
      </c>
      <c r="AC260" s="9">
        <v>0</v>
      </c>
      <c r="AD260" s="9">
        <v>0</v>
      </c>
    </row>
    <row r="261" spans="1:30" ht="51" hidden="1" x14ac:dyDescent="0.2">
      <c r="A261" s="7">
        <v>1246</v>
      </c>
      <c r="B261" s="8" t="s">
        <v>273</v>
      </c>
      <c r="C261" s="8" t="s">
        <v>255</v>
      </c>
      <c r="D261" s="9">
        <v>9.4300867888138892E-2</v>
      </c>
      <c r="E261" s="8" t="s">
        <v>257</v>
      </c>
      <c r="F261" s="8" t="str">
        <f t="shared" si="3"/>
        <v>WK1</v>
      </c>
      <c r="G261" s="9">
        <v>0</v>
      </c>
      <c r="H261" s="9">
        <v>0</v>
      </c>
      <c r="I261" s="9">
        <v>0</v>
      </c>
      <c r="J261" s="9">
        <v>0</v>
      </c>
      <c r="K261" s="9">
        <v>0</v>
      </c>
      <c r="L261" s="9">
        <v>0</v>
      </c>
      <c r="M261" s="9">
        <v>0.25</v>
      </c>
      <c r="N261" s="9">
        <v>1</v>
      </c>
      <c r="O261" s="9">
        <v>1</v>
      </c>
      <c r="P261" s="9">
        <v>0.25</v>
      </c>
      <c r="Q261" s="9">
        <v>0</v>
      </c>
      <c r="R261" s="9">
        <v>0.25</v>
      </c>
      <c r="S261" s="9">
        <v>1</v>
      </c>
      <c r="T261" s="9">
        <v>1</v>
      </c>
      <c r="U261" s="9">
        <v>0.5</v>
      </c>
      <c r="V261" s="9">
        <v>0</v>
      </c>
      <c r="W261" s="9">
        <v>0</v>
      </c>
      <c r="X261" s="9">
        <v>0.5</v>
      </c>
      <c r="Y261" s="9">
        <v>1</v>
      </c>
      <c r="Z261" s="9">
        <v>1</v>
      </c>
      <c r="AA261" s="9">
        <v>0.5</v>
      </c>
      <c r="AB261" s="9">
        <v>0</v>
      </c>
      <c r="AC261" s="9">
        <v>0</v>
      </c>
      <c r="AD261" s="9">
        <v>0</v>
      </c>
    </row>
    <row r="262" spans="1:30" ht="51" hidden="1" x14ac:dyDescent="0.2">
      <c r="A262" s="9">
        <v>1246</v>
      </c>
      <c r="B262" s="8" t="s">
        <v>273</v>
      </c>
      <c r="C262" s="8" t="s">
        <v>255</v>
      </c>
      <c r="D262" s="9">
        <v>9.4300867888138892E-2</v>
      </c>
      <c r="E262" s="8" t="s">
        <v>601</v>
      </c>
      <c r="F262" s="8" t="str">
        <f t="shared" si="3"/>
        <v>Wk2</v>
      </c>
      <c r="G262" s="9">
        <v>0</v>
      </c>
      <c r="H262" s="9">
        <v>0</v>
      </c>
      <c r="I262" s="9">
        <v>0</v>
      </c>
      <c r="J262" s="9">
        <v>0</v>
      </c>
      <c r="K262" s="9">
        <v>0</v>
      </c>
      <c r="L262" s="9">
        <v>0</v>
      </c>
      <c r="M262" s="9">
        <v>0</v>
      </c>
      <c r="N262" s="9">
        <v>0</v>
      </c>
      <c r="O262" s="9">
        <v>0</v>
      </c>
      <c r="P262" s="9">
        <v>0</v>
      </c>
      <c r="Q262" s="9">
        <v>0</v>
      </c>
      <c r="R262" s="9">
        <v>0</v>
      </c>
      <c r="S262" s="9">
        <v>0</v>
      </c>
      <c r="T262" s="9">
        <v>0</v>
      </c>
      <c r="U262" s="9">
        <v>0</v>
      </c>
      <c r="V262" s="9">
        <v>0</v>
      </c>
      <c r="W262" s="9">
        <v>0</v>
      </c>
      <c r="X262" s="9">
        <v>0</v>
      </c>
      <c r="Y262" s="9">
        <v>0</v>
      </c>
      <c r="Z262" s="9">
        <v>0</v>
      </c>
      <c r="AA262" s="9">
        <v>0</v>
      </c>
      <c r="AB262" s="9">
        <v>0</v>
      </c>
      <c r="AC262" s="9">
        <v>0</v>
      </c>
      <c r="AD262" s="9">
        <v>0</v>
      </c>
    </row>
    <row r="263" spans="1:30" ht="51" hidden="1" x14ac:dyDescent="0.2">
      <c r="A263" s="7">
        <v>1247</v>
      </c>
      <c r="B263" s="8" t="s">
        <v>172</v>
      </c>
      <c r="C263" s="8" t="s">
        <v>255</v>
      </c>
      <c r="D263" s="9">
        <v>0.21830985915492959</v>
      </c>
      <c r="E263" s="8" t="s">
        <v>343</v>
      </c>
      <c r="F263" s="8" t="str">
        <f t="shared" si="3"/>
        <v>WK1</v>
      </c>
      <c r="G263" s="9">
        <v>0</v>
      </c>
      <c r="H263" s="9">
        <v>0</v>
      </c>
      <c r="I263" s="9">
        <v>0</v>
      </c>
      <c r="J263" s="9">
        <v>0</v>
      </c>
      <c r="K263" s="9">
        <v>0</v>
      </c>
      <c r="L263" s="9">
        <v>0</v>
      </c>
      <c r="M263" s="9">
        <v>0</v>
      </c>
      <c r="N263" s="9">
        <v>0.1</v>
      </c>
      <c r="O263" s="9">
        <v>0.25</v>
      </c>
      <c r="P263" s="9">
        <v>0.75</v>
      </c>
      <c r="Q263" s="9">
        <v>1</v>
      </c>
      <c r="R263" s="9">
        <v>1</v>
      </c>
      <c r="S263" s="9">
        <v>0.5</v>
      </c>
      <c r="T263" s="9">
        <v>0.5</v>
      </c>
      <c r="U263" s="9">
        <v>1</v>
      </c>
      <c r="V263" s="9">
        <v>1</v>
      </c>
      <c r="W263" s="9">
        <v>0.5</v>
      </c>
      <c r="X263" s="9">
        <v>0.5</v>
      </c>
      <c r="Y263" s="9">
        <v>0</v>
      </c>
      <c r="Z263" s="9">
        <v>0</v>
      </c>
      <c r="AA263" s="9">
        <v>0</v>
      </c>
      <c r="AB263" s="9">
        <v>0</v>
      </c>
      <c r="AC263" s="9">
        <v>0</v>
      </c>
      <c r="AD263" s="9">
        <v>0</v>
      </c>
    </row>
    <row r="264" spans="1:30" ht="51" hidden="1" x14ac:dyDescent="0.2">
      <c r="A264" s="9">
        <v>1247</v>
      </c>
      <c r="B264" s="8" t="s">
        <v>172</v>
      </c>
      <c r="C264" s="8" t="s">
        <v>255</v>
      </c>
      <c r="D264" s="9">
        <v>0.21830985915492959</v>
      </c>
      <c r="E264" s="8" t="s">
        <v>581</v>
      </c>
      <c r="F264" s="8" t="str">
        <f t="shared" si="3"/>
        <v>Wk2</v>
      </c>
      <c r="G264" s="9">
        <v>0</v>
      </c>
      <c r="H264" s="9">
        <v>0</v>
      </c>
      <c r="I264" s="9">
        <v>0</v>
      </c>
      <c r="J264" s="9">
        <v>0</v>
      </c>
      <c r="K264" s="9">
        <v>0</v>
      </c>
      <c r="L264" s="9">
        <v>0</v>
      </c>
      <c r="M264" s="9">
        <v>0</v>
      </c>
      <c r="N264" s="9">
        <v>0</v>
      </c>
      <c r="O264" s="9">
        <v>0</v>
      </c>
      <c r="P264" s="9">
        <v>0</v>
      </c>
      <c r="Q264" s="9">
        <v>0</v>
      </c>
      <c r="R264" s="9">
        <v>0</v>
      </c>
      <c r="S264" s="9">
        <v>0</v>
      </c>
      <c r="T264" s="9">
        <v>0</v>
      </c>
      <c r="U264" s="9">
        <v>0</v>
      </c>
      <c r="V264" s="9">
        <v>0</v>
      </c>
      <c r="W264" s="9">
        <v>0</v>
      </c>
      <c r="X264" s="9">
        <v>0</v>
      </c>
      <c r="Y264" s="9">
        <v>0</v>
      </c>
      <c r="Z264" s="9">
        <v>0</v>
      </c>
      <c r="AA264" s="9">
        <v>0</v>
      </c>
      <c r="AB264" s="9">
        <v>0</v>
      </c>
      <c r="AC264" s="9">
        <v>0</v>
      </c>
      <c r="AD264" s="9">
        <v>0</v>
      </c>
    </row>
    <row r="265" spans="1:30" ht="51" hidden="1" x14ac:dyDescent="0.2">
      <c r="A265" s="9">
        <v>1248</v>
      </c>
      <c r="B265" s="8" t="s">
        <v>344</v>
      </c>
      <c r="C265" s="8" t="s">
        <v>255</v>
      </c>
      <c r="D265" s="9">
        <v>0.21830985915492959</v>
      </c>
      <c r="E265" s="8" t="s">
        <v>345</v>
      </c>
      <c r="F265" s="8" t="str">
        <f t="shared" si="3"/>
        <v>Wk2</v>
      </c>
      <c r="G265" s="9">
        <v>0</v>
      </c>
      <c r="H265" s="9">
        <v>0</v>
      </c>
      <c r="I265" s="9">
        <v>0</v>
      </c>
      <c r="J265" s="9">
        <v>0</v>
      </c>
      <c r="K265" s="9">
        <v>0</v>
      </c>
      <c r="L265" s="9">
        <v>0</v>
      </c>
      <c r="M265" s="9">
        <v>0</v>
      </c>
      <c r="N265" s="9">
        <v>0</v>
      </c>
      <c r="O265" s="9">
        <v>0</v>
      </c>
      <c r="P265" s="9">
        <v>0</v>
      </c>
      <c r="Q265" s="9">
        <v>0</v>
      </c>
      <c r="R265" s="9">
        <v>0</v>
      </c>
      <c r="S265" s="9">
        <v>0</v>
      </c>
      <c r="T265" s="9">
        <v>0</v>
      </c>
      <c r="U265" s="9">
        <v>0</v>
      </c>
      <c r="V265" s="9">
        <v>0</v>
      </c>
      <c r="W265" s="9">
        <v>0</v>
      </c>
      <c r="X265" s="9">
        <v>0</v>
      </c>
      <c r="Y265" s="9">
        <v>0</v>
      </c>
      <c r="Z265" s="9">
        <v>0</v>
      </c>
      <c r="AA265" s="9">
        <v>0</v>
      </c>
      <c r="AB265" s="9">
        <v>0</v>
      </c>
      <c r="AC265" s="9">
        <v>0</v>
      </c>
      <c r="AD265" s="9">
        <v>0</v>
      </c>
    </row>
    <row r="266" spans="1:30" ht="51" hidden="1" x14ac:dyDescent="0.2">
      <c r="A266" s="7">
        <v>1248</v>
      </c>
      <c r="B266" s="8" t="s">
        <v>344</v>
      </c>
      <c r="C266" s="8" t="s">
        <v>255</v>
      </c>
      <c r="D266" s="9">
        <v>0.21830985915492959</v>
      </c>
      <c r="E266" s="8" t="s">
        <v>346</v>
      </c>
      <c r="F266" s="8" t="str">
        <f t="shared" ref="F266:F329" si="4">RIGHT(E266,3)</f>
        <v>Wk1</v>
      </c>
      <c r="G266" s="9">
        <v>0</v>
      </c>
      <c r="H266" s="9">
        <v>0</v>
      </c>
      <c r="I266" s="9">
        <v>0</v>
      </c>
      <c r="J266" s="9">
        <v>0</v>
      </c>
      <c r="K266" s="9">
        <v>0</v>
      </c>
      <c r="L266" s="9">
        <v>0</v>
      </c>
      <c r="M266" s="9">
        <v>0</v>
      </c>
      <c r="N266" s="9">
        <v>0.1</v>
      </c>
      <c r="O266" s="9">
        <v>0.25</v>
      </c>
      <c r="P266" s="9">
        <v>0.75</v>
      </c>
      <c r="Q266" s="9">
        <v>1</v>
      </c>
      <c r="R266" s="9">
        <v>1</v>
      </c>
      <c r="S266" s="9">
        <v>0.5</v>
      </c>
      <c r="T266" s="9">
        <v>0.5</v>
      </c>
      <c r="U266" s="9">
        <v>1</v>
      </c>
      <c r="V266" s="9">
        <v>1</v>
      </c>
      <c r="W266" s="9">
        <v>0.5</v>
      </c>
      <c r="X266" s="9">
        <v>0.5</v>
      </c>
      <c r="Y266" s="9">
        <v>0</v>
      </c>
      <c r="Z266" s="9">
        <v>0</v>
      </c>
      <c r="AA266" s="9">
        <v>0</v>
      </c>
      <c r="AB266" s="9">
        <v>0</v>
      </c>
      <c r="AC266" s="9">
        <v>0</v>
      </c>
      <c r="AD266" s="9">
        <v>0</v>
      </c>
    </row>
    <row r="267" spans="1:30" ht="38.25" hidden="1" x14ac:dyDescent="0.2">
      <c r="A267" s="7">
        <v>1249</v>
      </c>
      <c r="B267" s="8" t="s">
        <v>365</v>
      </c>
      <c r="C267" s="8" t="s">
        <v>255</v>
      </c>
      <c r="D267" s="9">
        <v>0.20985915492957746</v>
      </c>
      <c r="E267" s="8" t="s">
        <v>347</v>
      </c>
      <c r="F267" s="8" t="str">
        <f t="shared" si="4"/>
        <v>WK1</v>
      </c>
      <c r="G267" s="9">
        <v>0</v>
      </c>
      <c r="H267" s="9">
        <v>0</v>
      </c>
      <c r="I267" s="9">
        <v>0</v>
      </c>
      <c r="J267" s="9">
        <v>0</v>
      </c>
      <c r="K267" s="9">
        <v>0</v>
      </c>
      <c r="L267" s="9">
        <v>0</v>
      </c>
      <c r="M267" s="9">
        <v>0</v>
      </c>
      <c r="N267" s="9">
        <v>0.1</v>
      </c>
      <c r="O267" s="9">
        <v>0.25</v>
      </c>
      <c r="P267" s="9">
        <v>0.75</v>
      </c>
      <c r="Q267" s="9">
        <v>1</v>
      </c>
      <c r="R267" s="9">
        <v>1</v>
      </c>
      <c r="S267" s="9">
        <v>0.5</v>
      </c>
      <c r="T267" s="9">
        <v>0.5</v>
      </c>
      <c r="U267" s="9">
        <v>1</v>
      </c>
      <c r="V267" s="9">
        <v>1</v>
      </c>
      <c r="W267" s="9">
        <v>0.5</v>
      </c>
      <c r="X267" s="9">
        <v>0.5</v>
      </c>
      <c r="Y267" s="9">
        <v>0</v>
      </c>
      <c r="Z267" s="9">
        <v>0</v>
      </c>
      <c r="AA267" s="9">
        <v>0</v>
      </c>
      <c r="AB267" s="9">
        <v>0</v>
      </c>
      <c r="AC267" s="9">
        <v>0</v>
      </c>
      <c r="AD267" s="9">
        <v>0</v>
      </c>
    </row>
    <row r="268" spans="1:30" ht="38.25" hidden="1" x14ac:dyDescent="0.2">
      <c r="A268" s="9">
        <v>1249</v>
      </c>
      <c r="B268" s="8" t="s">
        <v>365</v>
      </c>
      <c r="C268" s="8" t="s">
        <v>255</v>
      </c>
      <c r="D268" s="9">
        <v>0.20985915492957746</v>
      </c>
      <c r="E268" s="8" t="s">
        <v>582</v>
      </c>
      <c r="F268" s="8" t="str">
        <f t="shared" si="4"/>
        <v>Wk2</v>
      </c>
      <c r="G268" s="9">
        <v>0</v>
      </c>
      <c r="H268" s="9">
        <v>0</v>
      </c>
      <c r="I268" s="9">
        <v>0</v>
      </c>
      <c r="J268" s="9">
        <v>0</v>
      </c>
      <c r="K268" s="9">
        <v>0</v>
      </c>
      <c r="L268" s="9">
        <v>0</v>
      </c>
      <c r="M268" s="9">
        <v>0</v>
      </c>
      <c r="N268" s="9">
        <v>0</v>
      </c>
      <c r="O268" s="9">
        <v>0</v>
      </c>
      <c r="P268" s="9">
        <v>0</v>
      </c>
      <c r="Q268" s="9">
        <v>0</v>
      </c>
      <c r="R268" s="9">
        <v>0</v>
      </c>
      <c r="S268" s="9">
        <v>0</v>
      </c>
      <c r="T268" s="9">
        <v>0</v>
      </c>
      <c r="U268" s="9">
        <v>0</v>
      </c>
      <c r="V268" s="9">
        <v>0</v>
      </c>
      <c r="W268" s="9">
        <v>0</v>
      </c>
      <c r="X268" s="9">
        <v>0</v>
      </c>
      <c r="Y268" s="9">
        <v>0</v>
      </c>
      <c r="Z268" s="9">
        <v>0</v>
      </c>
      <c r="AA268" s="9">
        <v>0</v>
      </c>
      <c r="AB268" s="9">
        <v>0</v>
      </c>
      <c r="AC268" s="9">
        <v>0</v>
      </c>
      <c r="AD268" s="9">
        <v>0</v>
      </c>
    </row>
    <row r="269" spans="1:30" ht="38.25" hidden="1" x14ac:dyDescent="0.2">
      <c r="A269" s="7">
        <v>1250</v>
      </c>
      <c r="B269" s="8" t="s">
        <v>423</v>
      </c>
      <c r="C269" s="8" t="s">
        <v>255</v>
      </c>
      <c r="D269" s="9">
        <v>0.11</v>
      </c>
      <c r="E269" s="8" t="s">
        <v>583</v>
      </c>
      <c r="F269" s="8" t="str">
        <f t="shared" si="4"/>
        <v>WK1</v>
      </c>
      <c r="G269" s="9">
        <v>0</v>
      </c>
      <c r="H269" s="9">
        <v>0</v>
      </c>
      <c r="I269" s="9">
        <v>0</v>
      </c>
      <c r="J269" s="9">
        <v>0</v>
      </c>
      <c r="K269" s="9">
        <v>0</v>
      </c>
      <c r="L269" s="9">
        <v>0</v>
      </c>
      <c r="M269" s="9">
        <v>0</v>
      </c>
      <c r="N269" s="9">
        <v>0</v>
      </c>
      <c r="O269" s="9">
        <v>0</v>
      </c>
      <c r="P269" s="9">
        <v>0</v>
      </c>
      <c r="Q269" s="9">
        <v>0</v>
      </c>
      <c r="R269" s="9">
        <v>0</v>
      </c>
      <c r="S269" s="9">
        <v>0</v>
      </c>
      <c r="T269" s="9">
        <v>0</v>
      </c>
      <c r="U269" s="9">
        <v>0</v>
      </c>
      <c r="V269" s="9">
        <v>0</v>
      </c>
      <c r="W269" s="9">
        <v>0</v>
      </c>
      <c r="X269" s="9">
        <v>0</v>
      </c>
      <c r="Y269" s="9">
        <v>0</v>
      </c>
      <c r="Z269" s="9">
        <v>0</v>
      </c>
      <c r="AA269" s="9">
        <v>0</v>
      </c>
      <c r="AB269" s="9">
        <v>0</v>
      </c>
      <c r="AC269" s="9">
        <v>0</v>
      </c>
      <c r="AD269" s="9">
        <v>0</v>
      </c>
    </row>
    <row r="270" spans="1:30" ht="38.25" hidden="1" x14ac:dyDescent="0.2">
      <c r="A270" s="9">
        <v>1250</v>
      </c>
      <c r="B270" s="8" t="s">
        <v>423</v>
      </c>
      <c r="C270" s="8" t="s">
        <v>255</v>
      </c>
      <c r="D270" s="9">
        <v>0.11</v>
      </c>
      <c r="E270" s="8" t="s">
        <v>584</v>
      </c>
      <c r="F270" s="8" t="str">
        <f t="shared" si="4"/>
        <v>Wk2</v>
      </c>
      <c r="G270" s="9">
        <v>0</v>
      </c>
      <c r="H270" s="9">
        <v>0</v>
      </c>
      <c r="I270" s="9">
        <v>0</v>
      </c>
      <c r="J270" s="9">
        <v>0</v>
      </c>
      <c r="K270" s="9">
        <v>0</v>
      </c>
      <c r="L270" s="9">
        <v>0</v>
      </c>
      <c r="M270" s="9">
        <v>0</v>
      </c>
      <c r="N270" s="9">
        <v>0</v>
      </c>
      <c r="O270" s="9">
        <v>0</v>
      </c>
      <c r="P270" s="9">
        <v>0</v>
      </c>
      <c r="Q270" s="9">
        <v>0</v>
      </c>
      <c r="R270" s="9">
        <v>0</v>
      </c>
      <c r="S270" s="9">
        <v>0</v>
      </c>
      <c r="T270" s="9">
        <v>0</v>
      </c>
      <c r="U270" s="9">
        <v>0</v>
      </c>
      <c r="V270" s="9">
        <v>0</v>
      </c>
      <c r="W270" s="9">
        <v>0</v>
      </c>
      <c r="X270" s="9">
        <v>0</v>
      </c>
      <c r="Y270" s="9">
        <v>0</v>
      </c>
      <c r="Z270" s="9">
        <v>0</v>
      </c>
      <c r="AA270" s="9">
        <v>0</v>
      </c>
      <c r="AB270" s="9">
        <v>0</v>
      </c>
      <c r="AC270" s="9">
        <v>0</v>
      </c>
      <c r="AD270" s="9">
        <v>0</v>
      </c>
    </row>
    <row r="271" spans="1:30" ht="51" hidden="1" x14ac:dyDescent="0.2">
      <c r="A271" s="7">
        <v>1251</v>
      </c>
      <c r="B271" s="8" t="s">
        <v>286</v>
      </c>
      <c r="C271" s="8" t="s">
        <v>255</v>
      </c>
      <c r="D271" s="9">
        <v>0.11550000000000001</v>
      </c>
      <c r="E271" s="8" t="s">
        <v>348</v>
      </c>
      <c r="F271" s="8" t="str">
        <f t="shared" si="4"/>
        <v>WK1</v>
      </c>
      <c r="G271" s="9">
        <v>0</v>
      </c>
      <c r="H271" s="9">
        <v>0</v>
      </c>
      <c r="I271" s="9">
        <v>0</v>
      </c>
      <c r="J271" s="9">
        <v>0</v>
      </c>
      <c r="K271" s="9">
        <v>0</v>
      </c>
      <c r="L271" s="9">
        <v>0</v>
      </c>
      <c r="M271" s="9">
        <v>0</v>
      </c>
      <c r="N271" s="9">
        <v>0</v>
      </c>
      <c r="O271" s="9">
        <v>0</v>
      </c>
      <c r="P271" s="9">
        <v>1</v>
      </c>
      <c r="Q271" s="9">
        <v>1</v>
      </c>
      <c r="R271" s="9">
        <v>1</v>
      </c>
      <c r="S271" s="9">
        <v>1</v>
      </c>
      <c r="T271" s="9">
        <v>1</v>
      </c>
      <c r="U271" s="9">
        <v>1</v>
      </c>
      <c r="V271" s="9">
        <v>1</v>
      </c>
      <c r="W271" s="9">
        <v>1</v>
      </c>
      <c r="X271" s="9">
        <v>0</v>
      </c>
      <c r="Y271" s="9">
        <v>0</v>
      </c>
      <c r="Z271" s="9">
        <v>0</v>
      </c>
      <c r="AA271" s="9">
        <v>0</v>
      </c>
      <c r="AB271" s="9">
        <v>0</v>
      </c>
      <c r="AC271" s="9">
        <v>0</v>
      </c>
      <c r="AD271" s="9">
        <v>0</v>
      </c>
    </row>
    <row r="272" spans="1:30" ht="51" hidden="1" x14ac:dyDescent="0.2">
      <c r="A272" s="9">
        <v>1251</v>
      </c>
      <c r="B272" s="8" t="s">
        <v>286</v>
      </c>
      <c r="C272" s="8" t="s">
        <v>255</v>
      </c>
      <c r="D272" s="9">
        <v>0.11550000000000001</v>
      </c>
      <c r="E272" s="8" t="s">
        <v>585</v>
      </c>
      <c r="F272" s="8" t="str">
        <f t="shared" si="4"/>
        <v>Wk2</v>
      </c>
      <c r="G272" s="9">
        <v>0</v>
      </c>
      <c r="H272" s="9">
        <v>0</v>
      </c>
      <c r="I272" s="9">
        <v>0</v>
      </c>
      <c r="J272" s="9">
        <v>0</v>
      </c>
      <c r="K272" s="9">
        <v>0</v>
      </c>
      <c r="L272" s="9">
        <v>0</v>
      </c>
      <c r="M272" s="9">
        <v>0</v>
      </c>
      <c r="N272" s="9">
        <v>0</v>
      </c>
      <c r="O272" s="9">
        <v>0</v>
      </c>
      <c r="P272" s="9">
        <v>0</v>
      </c>
      <c r="Q272" s="9">
        <v>0</v>
      </c>
      <c r="R272" s="9">
        <v>0</v>
      </c>
      <c r="S272" s="9">
        <v>0</v>
      </c>
      <c r="T272" s="9">
        <v>0</v>
      </c>
      <c r="U272" s="9">
        <v>0</v>
      </c>
      <c r="V272" s="9">
        <v>0</v>
      </c>
      <c r="W272" s="9">
        <v>0</v>
      </c>
      <c r="X272" s="9">
        <v>0</v>
      </c>
      <c r="Y272" s="9">
        <v>0</v>
      </c>
      <c r="Z272" s="9">
        <v>0</v>
      </c>
      <c r="AA272" s="9">
        <v>0</v>
      </c>
      <c r="AB272" s="9">
        <v>0</v>
      </c>
      <c r="AC272" s="9">
        <v>0</v>
      </c>
      <c r="AD272" s="9">
        <v>0</v>
      </c>
    </row>
    <row r="273" spans="1:30" ht="38.25" hidden="1" x14ac:dyDescent="0.2">
      <c r="A273" s="7">
        <v>1252</v>
      </c>
      <c r="B273" s="8" t="s">
        <v>418</v>
      </c>
      <c r="C273" s="8" t="s">
        <v>255</v>
      </c>
      <c r="D273" s="9">
        <v>0.12100000000000001</v>
      </c>
      <c r="E273" s="8" t="s">
        <v>586</v>
      </c>
      <c r="F273" s="8" t="str">
        <f t="shared" si="4"/>
        <v>WK1</v>
      </c>
      <c r="G273" s="9">
        <v>0</v>
      </c>
      <c r="H273" s="9">
        <v>0</v>
      </c>
      <c r="I273" s="9">
        <v>0</v>
      </c>
      <c r="J273" s="9">
        <v>0</v>
      </c>
      <c r="K273" s="9">
        <v>0</v>
      </c>
      <c r="L273" s="9">
        <v>0</v>
      </c>
      <c r="M273" s="9">
        <v>0</v>
      </c>
      <c r="N273" s="9">
        <v>0</v>
      </c>
      <c r="O273" s="9">
        <v>1</v>
      </c>
      <c r="P273" s="9">
        <v>1</v>
      </c>
      <c r="Q273" s="9">
        <v>1</v>
      </c>
      <c r="R273" s="9">
        <v>1</v>
      </c>
      <c r="S273" s="9">
        <v>1</v>
      </c>
      <c r="T273" s="9">
        <v>1</v>
      </c>
      <c r="U273" s="9">
        <v>1</v>
      </c>
      <c r="V273" s="9">
        <v>1</v>
      </c>
      <c r="W273" s="9">
        <v>1</v>
      </c>
      <c r="X273" s="9">
        <v>1</v>
      </c>
      <c r="Y273" s="9">
        <v>0</v>
      </c>
      <c r="Z273" s="9">
        <v>0</v>
      </c>
      <c r="AA273" s="9">
        <v>0</v>
      </c>
      <c r="AB273" s="9">
        <v>0</v>
      </c>
      <c r="AC273" s="9">
        <v>0</v>
      </c>
      <c r="AD273" s="9">
        <v>0</v>
      </c>
    </row>
    <row r="274" spans="1:30" ht="38.25" hidden="1" x14ac:dyDescent="0.2">
      <c r="A274" s="9">
        <v>1252</v>
      </c>
      <c r="B274" s="8" t="s">
        <v>418</v>
      </c>
      <c r="C274" s="8" t="s">
        <v>255</v>
      </c>
      <c r="D274" s="9">
        <v>0.12100000000000001</v>
      </c>
      <c r="E274" s="8" t="s">
        <v>587</v>
      </c>
      <c r="F274" s="8" t="str">
        <f t="shared" si="4"/>
        <v>Wk2</v>
      </c>
      <c r="G274" s="9">
        <v>0</v>
      </c>
      <c r="H274" s="9">
        <v>0</v>
      </c>
      <c r="I274" s="9">
        <v>0</v>
      </c>
      <c r="J274" s="9">
        <v>0</v>
      </c>
      <c r="K274" s="9">
        <v>0</v>
      </c>
      <c r="L274" s="9">
        <v>0</v>
      </c>
      <c r="M274" s="9">
        <v>0</v>
      </c>
      <c r="N274" s="9">
        <v>0</v>
      </c>
      <c r="O274" s="9">
        <v>0</v>
      </c>
      <c r="P274" s="9">
        <v>0</v>
      </c>
      <c r="Q274" s="9">
        <v>0</v>
      </c>
      <c r="R274" s="9">
        <v>0</v>
      </c>
      <c r="S274" s="9">
        <v>0</v>
      </c>
      <c r="T274" s="9">
        <v>0</v>
      </c>
      <c r="U274" s="9">
        <v>0</v>
      </c>
      <c r="V274" s="9">
        <v>0</v>
      </c>
      <c r="W274" s="9">
        <v>0</v>
      </c>
      <c r="X274" s="9">
        <v>0</v>
      </c>
      <c r="Y274" s="9">
        <v>0</v>
      </c>
      <c r="Z274" s="9">
        <v>0</v>
      </c>
      <c r="AA274" s="9">
        <v>0</v>
      </c>
      <c r="AB274" s="9">
        <v>0</v>
      </c>
      <c r="AC274" s="9">
        <v>0</v>
      </c>
      <c r="AD274" s="9">
        <v>0</v>
      </c>
    </row>
    <row r="275" spans="1:30" ht="38.25" hidden="1" x14ac:dyDescent="0.2">
      <c r="A275" s="7">
        <v>1253</v>
      </c>
      <c r="B275" s="8" t="s">
        <v>366</v>
      </c>
      <c r="C275" s="8" t="s">
        <v>255</v>
      </c>
      <c r="D275" s="9">
        <v>0.14577956989247309</v>
      </c>
      <c r="E275" s="8" t="s">
        <v>349</v>
      </c>
      <c r="F275" s="8" t="str">
        <f t="shared" si="4"/>
        <v>WK1</v>
      </c>
      <c r="G275" s="9">
        <v>0</v>
      </c>
      <c r="H275" s="9">
        <v>0</v>
      </c>
      <c r="I275" s="9">
        <v>0</v>
      </c>
      <c r="J275" s="9">
        <v>0</v>
      </c>
      <c r="K275" s="9">
        <v>0</v>
      </c>
      <c r="L275" s="9">
        <v>0</v>
      </c>
      <c r="M275" s="9">
        <v>0</v>
      </c>
      <c r="N275" s="9">
        <v>0</v>
      </c>
      <c r="O275" s="9">
        <v>0</v>
      </c>
      <c r="P275" s="9">
        <v>1</v>
      </c>
      <c r="Q275" s="9">
        <v>1</v>
      </c>
      <c r="R275" s="9">
        <v>1</v>
      </c>
      <c r="S275" s="9">
        <v>1</v>
      </c>
      <c r="T275" s="9">
        <v>1</v>
      </c>
      <c r="U275" s="9">
        <v>1</v>
      </c>
      <c r="V275" s="9">
        <v>1</v>
      </c>
      <c r="W275" s="9">
        <v>1</v>
      </c>
      <c r="X275" s="9">
        <v>1</v>
      </c>
      <c r="Y275" s="9">
        <v>1</v>
      </c>
      <c r="Z275" s="9">
        <v>1</v>
      </c>
      <c r="AA275" s="9">
        <v>1</v>
      </c>
      <c r="AB275" s="9">
        <v>0</v>
      </c>
      <c r="AC275" s="9">
        <v>0</v>
      </c>
      <c r="AD275" s="9">
        <v>0</v>
      </c>
    </row>
    <row r="276" spans="1:30" ht="38.25" hidden="1" x14ac:dyDescent="0.2">
      <c r="A276" s="9">
        <v>1253</v>
      </c>
      <c r="B276" s="8" t="s">
        <v>366</v>
      </c>
      <c r="C276" s="8" t="s">
        <v>255</v>
      </c>
      <c r="D276" s="9">
        <v>0.14577956989247309</v>
      </c>
      <c r="E276" s="8" t="s">
        <v>588</v>
      </c>
      <c r="F276" s="8" t="str">
        <f t="shared" si="4"/>
        <v>Wk2</v>
      </c>
      <c r="G276" s="9">
        <v>0</v>
      </c>
      <c r="H276" s="9">
        <v>0</v>
      </c>
      <c r="I276" s="9">
        <v>0</v>
      </c>
      <c r="J276" s="9">
        <v>0</v>
      </c>
      <c r="K276" s="9">
        <v>0</v>
      </c>
      <c r="L276" s="9">
        <v>0</v>
      </c>
      <c r="M276" s="9">
        <v>0</v>
      </c>
      <c r="N276" s="9">
        <v>0</v>
      </c>
      <c r="O276" s="9">
        <v>0</v>
      </c>
      <c r="P276" s="9">
        <v>0.5</v>
      </c>
      <c r="Q276" s="9">
        <v>1</v>
      </c>
      <c r="R276" s="9">
        <v>1</v>
      </c>
      <c r="S276" s="9">
        <v>1</v>
      </c>
      <c r="T276" s="9">
        <v>0.75</v>
      </c>
      <c r="U276" s="9">
        <v>1</v>
      </c>
      <c r="V276" s="9">
        <v>0.75</v>
      </c>
      <c r="W276" s="9">
        <v>0</v>
      </c>
      <c r="X276" s="9">
        <v>0</v>
      </c>
      <c r="Y276" s="9">
        <v>0</v>
      </c>
      <c r="Z276" s="9">
        <v>0</v>
      </c>
      <c r="AA276" s="9">
        <v>0</v>
      </c>
      <c r="AB276" s="9">
        <v>0</v>
      </c>
      <c r="AC276" s="9">
        <v>0</v>
      </c>
      <c r="AD276" s="9">
        <v>0</v>
      </c>
    </row>
    <row r="277" spans="1:30" ht="38.25" hidden="1" x14ac:dyDescent="0.2">
      <c r="A277" s="7">
        <v>1254</v>
      </c>
      <c r="B277" s="8" t="s">
        <v>370</v>
      </c>
      <c r="C277" s="8" t="s">
        <v>255</v>
      </c>
      <c r="D277" s="9">
        <v>0.11</v>
      </c>
      <c r="E277" s="8" t="s">
        <v>589</v>
      </c>
      <c r="F277" s="8" t="str">
        <f t="shared" si="4"/>
        <v>WK1</v>
      </c>
      <c r="G277" s="9">
        <v>0</v>
      </c>
      <c r="H277" s="9">
        <v>0</v>
      </c>
      <c r="I277" s="9">
        <v>0</v>
      </c>
      <c r="J277" s="9">
        <v>0</v>
      </c>
      <c r="K277" s="9">
        <v>0</v>
      </c>
      <c r="L277" s="9">
        <v>0</v>
      </c>
      <c r="M277" s="9">
        <v>0</v>
      </c>
      <c r="N277" s="9">
        <v>0.25</v>
      </c>
      <c r="O277" s="9">
        <v>0.5</v>
      </c>
      <c r="P277" s="9">
        <v>1</v>
      </c>
      <c r="Q277" s="9">
        <v>1</v>
      </c>
      <c r="R277" s="9">
        <v>1</v>
      </c>
      <c r="S277" s="9">
        <v>0.75</v>
      </c>
      <c r="T277" s="9">
        <v>0.75</v>
      </c>
      <c r="U277" s="9">
        <v>1</v>
      </c>
      <c r="V277" s="9">
        <v>1</v>
      </c>
      <c r="W277" s="9">
        <v>1</v>
      </c>
      <c r="X277" s="9">
        <v>0.5</v>
      </c>
      <c r="Y277" s="9">
        <v>0.25</v>
      </c>
      <c r="Z277" s="9">
        <v>0</v>
      </c>
      <c r="AA277" s="9">
        <v>0</v>
      </c>
      <c r="AB277" s="9">
        <v>0</v>
      </c>
      <c r="AC277" s="9">
        <v>0</v>
      </c>
      <c r="AD277" s="9">
        <v>0</v>
      </c>
    </row>
    <row r="278" spans="1:30" ht="38.25" hidden="1" x14ac:dyDescent="0.2">
      <c r="A278" s="9">
        <v>1254</v>
      </c>
      <c r="B278" s="8" t="s">
        <v>370</v>
      </c>
      <c r="C278" s="8" t="s">
        <v>255</v>
      </c>
      <c r="D278" s="9">
        <v>0.11</v>
      </c>
      <c r="E278" s="8" t="s">
        <v>590</v>
      </c>
      <c r="F278" s="8" t="str">
        <f t="shared" si="4"/>
        <v>Wk2</v>
      </c>
      <c r="G278" s="9">
        <v>0</v>
      </c>
      <c r="H278" s="9">
        <v>0</v>
      </c>
      <c r="I278" s="9">
        <v>0</v>
      </c>
      <c r="J278" s="9">
        <v>0</v>
      </c>
      <c r="K278" s="9">
        <v>0</v>
      </c>
      <c r="L278" s="9">
        <v>0</v>
      </c>
      <c r="M278" s="9">
        <v>0</v>
      </c>
      <c r="N278" s="9">
        <v>0</v>
      </c>
      <c r="O278" s="9">
        <v>0</v>
      </c>
      <c r="P278" s="9">
        <v>0</v>
      </c>
      <c r="Q278" s="9">
        <v>0</v>
      </c>
      <c r="R278" s="9">
        <v>0</v>
      </c>
      <c r="S278" s="9">
        <v>0</v>
      </c>
      <c r="T278" s="9">
        <v>0</v>
      </c>
      <c r="U278" s="9">
        <v>0</v>
      </c>
      <c r="V278" s="9">
        <v>0</v>
      </c>
      <c r="W278" s="9">
        <v>0</v>
      </c>
      <c r="X278" s="9">
        <v>0</v>
      </c>
      <c r="Y278" s="9">
        <v>0</v>
      </c>
      <c r="Z278" s="9">
        <v>0</v>
      </c>
      <c r="AA278" s="9">
        <v>0</v>
      </c>
      <c r="AB278" s="9">
        <v>0</v>
      </c>
      <c r="AC278" s="9">
        <v>0</v>
      </c>
      <c r="AD278" s="9">
        <v>0</v>
      </c>
    </row>
    <row r="279" spans="1:30" ht="51" hidden="1" x14ac:dyDescent="0.2">
      <c r="A279" s="7">
        <v>1255</v>
      </c>
      <c r="B279" s="8" t="s">
        <v>106</v>
      </c>
      <c r="C279" s="8" t="s">
        <v>255</v>
      </c>
      <c r="D279" s="9">
        <v>6.3259259264444451E-2</v>
      </c>
      <c r="E279" s="8" t="s">
        <v>350</v>
      </c>
      <c r="F279" s="8" t="str">
        <f t="shared" si="4"/>
        <v>Wk1</v>
      </c>
      <c r="G279" s="9">
        <v>0</v>
      </c>
      <c r="H279" s="9">
        <v>0</v>
      </c>
      <c r="I279" s="9">
        <v>0</v>
      </c>
      <c r="J279" s="9">
        <v>0</v>
      </c>
      <c r="K279" s="9">
        <v>0</v>
      </c>
      <c r="L279" s="9">
        <v>0</v>
      </c>
      <c r="M279" s="9">
        <v>0</v>
      </c>
      <c r="N279" s="9">
        <v>0.25</v>
      </c>
      <c r="O279" s="9">
        <v>0.5</v>
      </c>
      <c r="P279" s="9">
        <v>1</v>
      </c>
      <c r="Q279" s="9">
        <v>1</v>
      </c>
      <c r="R279" s="9">
        <v>1</v>
      </c>
      <c r="S279" s="9">
        <v>0.75</v>
      </c>
      <c r="T279" s="9">
        <v>0.75</v>
      </c>
      <c r="U279" s="9">
        <v>1</v>
      </c>
      <c r="V279" s="9">
        <v>1</v>
      </c>
      <c r="W279" s="9">
        <v>1</v>
      </c>
      <c r="X279" s="9">
        <v>0.5</v>
      </c>
      <c r="Y279" s="9">
        <v>0.25</v>
      </c>
      <c r="Z279" s="9">
        <v>0</v>
      </c>
      <c r="AA279" s="9">
        <v>0</v>
      </c>
      <c r="AB279" s="9">
        <v>0</v>
      </c>
      <c r="AC279" s="9">
        <v>0</v>
      </c>
      <c r="AD279" s="9">
        <v>0</v>
      </c>
    </row>
    <row r="280" spans="1:30" ht="51" hidden="1" x14ac:dyDescent="0.2">
      <c r="A280" s="9">
        <v>1255</v>
      </c>
      <c r="B280" s="8" t="s">
        <v>106</v>
      </c>
      <c r="C280" s="8" t="s">
        <v>255</v>
      </c>
      <c r="D280" s="9">
        <v>6.3259259264444451E-2</v>
      </c>
      <c r="E280" s="8" t="s">
        <v>591</v>
      </c>
      <c r="F280" s="8" t="str">
        <f t="shared" si="4"/>
        <v>Wk2</v>
      </c>
      <c r="G280" s="9">
        <v>0</v>
      </c>
      <c r="H280" s="9">
        <v>0</v>
      </c>
      <c r="I280" s="9">
        <v>0</v>
      </c>
      <c r="J280" s="9">
        <v>0</v>
      </c>
      <c r="K280" s="9">
        <v>0</v>
      </c>
      <c r="L280" s="9">
        <v>0</v>
      </c>
      <c r="M280" s="9">
        <v>0</v>
      </c>
      <c r="N280" s="9">
        <v>0</v>
      </c>
      <c r="O280" s="9">
        <v>0</v>
      </c>
      <c r="P280" s="9">
        <v>0</v>
      </c>
      <c r="Q280" s="9">
        <v>0</v>
      </c>
      <c r="R280" s="9">
        <v>0</v>
      </c>
      <c r="S280" s="9">
        <v>0</v>
      </c>
      <c r="T280" s="9">
        <v>0</v>
      </c>
      <c r="U280" s="9">
        <v>0</v>
      </c>
      <c r="V280" s="9">
        <v>0</v>
      </c>
      <c r="W280" s="9">
        <v>0</v>
      </c>
      <c r="X280" s="9">
        <v>0</v>
      </c>
      <c r="Y280" s="9">
        <v>0</v>
      </c>
      <c r="Z280" s="9">
        <v>0</v>
      </c>
      <c r="AA280" s="9">
        <v>0</v>
      </c>
      <c r="AB280" s="9">
        <v>0</v>
      </c>
      <c r="AC280" s="9">
        <v>0</v>
      </c>
      <c r="AD280" s="9">
        <v>0</v>
      </c>
    </row>
    <row r="281" spans="1:30" ht="51" hidden="1" x14ac:dyDescent="0.2">
      <c r="A281" s="9">
        <v>1256</v>
      </c>
      <c r="B281" s="8" t="s">
        <v>592</v>
      </c>
      <c r="C281" s="8" t="s">
        <v>255</v>
      </c>
      <c r="D281" s="9">
        <v>0.55232394366197191</v>
      </c>
      <c r="E281" s="8" t="s">
        <v>593</v>
      </c>
      <c r="F281" s="8" t="str">
        <f t="shared" si="4"/>
        <v>Wk2</v>
      </c>
      <c r="G281" s="9">
        <v>0</v>
      </c>
      <c r="H281" s="9">
        <v>0</v>
      </c>
      <c r="I281" s="9">
        <v>0</v>
      </c>
      <c r="J281" s="9">
        <v>0</v>
      </c>
      <c r="K281" s="9">
        <v>0</v>
      </c>
      <c r="L281" s="9">
        <v>0</v>
      </c>
      <c r="M281" s="9">
        <v>0</v>
      </c>
      <c r="N281" s="9">
        <v>0</v>
      </c>
      <c r="O281" s="9">
        <v>0</v>
      </c>
      <c r="P281" s="9">
        <v>0</v>
      </c>
      <c r="Q281" s="9">
        <v>0</v>
      </c>
      <c r="R281" s="9">
        <v>0</v>
      </c>
      <c r="S281" s="9">
        <v>0</v>
      </c>
      <c r="T281" s="9">
        <v>0</v>
      </c>
      <c r="U281" s="9">
        <v>0</v>
      </c>
      <c r="V281" s="9">
        <v>0</v>
      </c>
      <c r="W281" s="9">
        <v>0</v>
      </c>
      <c r="X281" s="9">
        <v>0</v>
      </c>
      <c r="Y281" s="9">
        <v>0</v>
      </c>
      <c r="Z281" s="9">
        <v>0</v>
      </c>
      <c r="AA281" s="9">
        <v>0</v>
      </c>
      <c r="AB281" s="9">
        <v>0</v>
      </c>
      <c r="AC281" s="9">
        <v>0</v>
      </c>
      <c r="AD281" s="9">
        <v>0</v>
      </c>
    </row>
    <row r="282" spans="1:30" ht="51" hidden="1" x14ac:dyDescent="0.2">
      <c r="A282" s="7">
        <v>1256</v>
      </c>
      <c r="B282" s="8" t="s">
        <v>592</v>
      </c>
      <c r="C282" s="8" t="s">
        <v>255</v>
      </c>
      <c r="D282" s="9">
        <v>0.55232394366197191</v>
      </c>
      <c r="E282" s="8" t="s">
        <v>351</v>
      </c>
      <c r="F282" s="8" t="str">
        <f t="shared" si="4"/>
        <v>WK1</v>
      </c>
      <c r="G282" s="9">
        <v>0</v>
      </c>
      <c r="H282" s="9">
        <v>0</v>
      </c>
      <c r="I282" s="9">
        <v>0</v>
      </c>
      <c r="J282" s="9">
        <v>0</v>
      </c>
      <c r="K282" s="9">
        <v>0</v>
      </c>
      <c r="L282" s="9">
        <v>0</v>
      </c>
      <c r="M282" s="9">
        <v>0</v>
      </c>
      <c r="N282" s="9">
        <v>0.1</v>
      </c>
      <c r="O282" s="9">
        <v>0.25</v>
      </c>
      <c r="P282" s="9">
        <v>0.75</v>
      </c>
      <c r="Q282" s="9">
        <v>1</v>
      </c>
      <c r="R282" s="9">
        <v>1</v>
      </c>
      <c r="S282" s="9">
        <v>0.5</v>
      </c>
      <c r="T282" s="9">
        <v>0.5</v>
      </c>
      <c r="U282" s="9">
        <v>1</v>
      </c>
      <c r="V282" s="9">
        <v>1</v>
      </c>
      <c r="W282" s="9">
        <v>0.5</v>
      </c>
      <c r="X282" s="9">
        <v>0.5</v>
      </c>
      <c r="Y282" s="9">
        <v>0</v>
      </c>
      <c r="Z282" s="9">
        <v>0</v>
      </c>
      <c r="AA282" s="9">
        <v>0</v>
      </c>
      <c r="AB282" s="9">
        <v>0</v>
      </c>
      <c r="AC282" s="9">
        <v>0</v>
      </c>
      <c r="AD282" s="9">
        <v>0</v>
      </c>
    </row>
    <row r="283" spans="1:30" ht="38.25" hidden="1" x14ac:dyDescent="0.2">
      <c r="A283" s="7">
        <v>1257</v>
      </c>
      <c r="B283" s="8" t="s">
        <v>247</v>
      </c>
      <c r="C283" s="8" t="s">
        <v>255</v>
      </c>
      <c r="D283" s="9">
        <v>0.10100000000000001</v>
      </c>
      <c r="E283" s="8" t="s">
        <v>352</v>
      </c>
      <c r="F283" s="8" t="str">
        <f t="shared" si="4"/>
        <v>WK1</v>
      </c>
      <c r="G283" s="9">
        <v>0</v>
      </c>
      <c r="H283" s="9">
        <v>0</v>
      </c>
      <c r="I283" s="9">
        <v>0</v>
      </c>
      <c r="J283" s="9">
        <v>0</v>
      </c>
      <c r="K283" s="9">
        <v>0</v>
      </c>
      <c r="L283" s="9">
        <v>0</v>
      </c>
      <c r="M283" s="9">
        <v>0</v>
      </c>
      <c r="N283" s="9">
        <v>0.1</v>
      </c>
      <c r="O283" s="9">
        <v>0.25</v>
      </c>
      <c r="P283" s="9">
        <v>0.75</v>
      </c>
      <c r="Q283" s="9">
        <v>1</v>
      </c>
      <c r="R283" s="9">
        <v>1</v>
      </c>
      <c r="S283" s="9">
        <v>0.5</v>
      </c>
      <c r="T283" s="9">
        <v>0.5</v>
      </c>
      <c r="U283" s="9">
        <v>1</v>
      </c>
      <c r="V283" s="9">
        <v>1</v>
      </c>
      <c r="W283" s="9">
        <v>0.5</v>
      </c>
      <c r="X283" s="9">
        <v>0.5</v>
      </c>
      <c r="Y283" s="9">
        <v>0</v>
      </c>
      <c r="Z283" s="9">
        <v>0</v>
      </c>
      <c r="AA283" s="9">
        <v>0</v>
      </c>
      <c r="AB283" s="9">
        <v>0</v>
      </c>
      <c r="AC283" s="9">
        <v>0</v>
      </c>
      <c r="AD283" s="9">
        <v>0</v>
      </c>
    </row>
    <row r="284" spans="1:30" ht="38.25" hidden="1" x14ac:dyDescent="0.2">
      <c r="A284" s="9">
        <v>1257</v>
      </c>
      <c r="B284" s="8" t="s">
        <v>247</v>
      </c>
      <c r="C284" s="8" t="s">
        <v>255</v>
      </c>
      <c r="D284" s="9">
        <v>0.10100000000000001</v>
      </c>
      <c r="E284" s="8" t="s">
        <v>594</v>
      </c>
      <c r="F284" s="8" t="str">
        <f t="shared" si="4"/>
        <v>Wk2</v>
      </c>
      <c r="G284" s="9">
        <v>0</v>
      </c>
      <c r="H284" s="9">
        <v>0</v>
      </c>
      <c r="I284" s="9">
        <v>0</v>
      </c>
      <c r="J284" s="9">
        <v>0</v>
      </c>
      <c r="K284" s="9">
        <v>0</v>
      </c>
      <c r="L284" s="9">
        <v>0</v>
      </c>
      <c r="M284" s="9">
        <v>0</v>
      </c>
      <c r="N284" s="9">
        <v>0</v>
      </c>
      <c r="O284" s="9">
        <v>0</v>
      </c>
      <c r="P284" s="9">
        <v>0</v>
      </c>
      <c r="Q284" s="9">
        <v>0</v>
      </c>
      <c r="R284" s="9">
        <v>0</v>
      </c>
      <c r="S284" s="9">
        <v>0</v>
      </c>
      <c r="T284" s="9">
        <v>0</v>
      </c>
      <c r="U284" s="9">
        <v>0</v>
      </c>
      <c r="V284" s="9">
        <v>0</v>
      </c>
      <c r="W284" s="9">
        <v>0</v>
      </c>
      <c r="X284" s="9">
        <v>0</v>
      </c>
      <c r="Y284" s="9">
        <v>0</v>
      </c>
      <c r="Z284" s="9">
        <v>0</v>
      </c>
      <c r="AA284" s="9">
        <v>0</v>
      </c>
      <c r="AB284" s="9">
        <v>0</v>
      </c>
      <c r="AC284" s="9">
        <v>0</v>
      </c>
      <c r="AD284" s="9">
        <v>0</v>
      </c>
    </row>
    <row r="285" spans="1:30" ht="51" hidden="1" x14ac:dyDescent="0.2">
      <c r="A285" s="9">
        <v>1258</v>
      </c>
      <c r="B285" s="8" t="s">
        <v>80</v>
      </c>
      <c r="C285" s="8" t="s">
        <v>255</v>
      </c>
      <c r="D285" s="9">
        <v>9.6304761904761921E-2</v>
      </c>
      <c r="E285" s="8" t="s">
        <v>258</v>
      </c>
      <c r="F285" s="8" t="str">
        <f t="shared" si="4"/>
        <v>Wk2</v>
      </c>
      <c r="G285" s="9">
        <v>1</v>
      </c>
      <c r="H285" s="9">
        <v>1</v>
      </c>
      <c r="I285" s="9">
        <v>1</v>
      </c>
      <c r="J285" s="9">
        <v>1</v>
      </c>
      <c r="K285" s="9">
        <v>1</v>
      </c>
      <c r="L285" s="9">
        <v>1</v>
      </c>
      <c r="M285" s="9">
        <v>1</v>
      </c>
      <c r="N285" s="9">
        <v>0.5</v>
      </c>
      <c r="O285" s="9">
        <v>0.25</v>
      </c>
      <c r="P285" s="9">
        <v>0</v>
      </c>
      <c r="Q285" s="9">
        <v>0</v>
      </c>
      <c r="R285" s="9">
        <v>0</v>
      </c>
      <c r="S285" s="9">
        <v>0</v>
      </c>
      <c r="T285" s="9">
        <v>0</v>
      </c>
      <c r="U285" s="9">
        <v>0</v>
      </c>
      <c r="V285" s="9">
        <v>0</v>
      </c>
      <c r="W285" s="9">
        <v>0</v>
      </c>
      <c r="X285" s="9">
        <v>0</v>
      </c>
      <c r="Y285" s="9">
        <v>0</v>
      </c>
      <c r="Z285" s="9">
        <v>0</v>
      </c>
      <c r="AA285" s="9">
        <v>0</v>
      </c>
      <c r="AB285" s="9">
        <v>0</v>
      </c>
      <c r="AC285" s="9">
        <v>0.25</v>
      </c>
      <c r="AD285" s="9">
        <v>0.75</v>
      </c>
    </row>
    <row r="286" spans="1:30" ht="51" hidden="1" x14ac:dyDescent="0.2">
      <c r="A286" s="7">
        <v>1258</v>
      </c>
      <c r="B286" s="8" t="s">
        <v>80</v>
      </c>
      <c r="C286" s="8" t="s">
        <v>255</v>
      </c>
      <c r="D286" s="9">
        <v>9.6304761904761921E-2</v>
      </c>
      <c r="E286" s="8" t="s">
        <v>602</v>
      </c>
      <c r="F286" s="8" t="str">
        <f t="shared" si="4"/>
        <v>Wk1</v>
      </c>
      <c r="G286" s="9">
        <v>1</v>
      </c>
      <c r="H286" s="9">
        <v>1</v>
      </c>
      <c r="I286" s="9">
        <v>1</v>
      </c>
      <c r="J286" s="9">
        <v>1</v>
      </c>
      <c r="K286" s="9">
        <v>1</v>
      </c>
      <c r="L286" s="9">
        <v>1</v>
      </c>
      <c r="M286" s="9">
        <v>1</v>
      </c>
      <c r="N286" s="9">
        <v>0.5</v>
      </c>
      <c r="O286" s="9">
        <v>0.25</v>
      </c>
      <c r="P286" s="9">
        <v>0</v>
      </c>
      <c r="Q286" s="9">
        <v>0</v>
      </c>
      <c r="R286" s="9">
        <v>0</v>
      </c>
      <c r="S286" s="9">
        <v>0</v>
      </c>
      <c r="T286" s="9">
        <v>0</v>
      </c>
      <c r="U286" s="9">
        <v>0</v>
      </c>
      <c r="V286" s="9">
        <v>0</v>
      </c>
      <c r="W286" s="9">
        <v>0</v>
      </c>
      <c r="X286" s="9">
        <v>0</v>
      </c>
      <c r="Y286" s="9">
        <v>0</v>
      </c>
      <c r="Z286" s="9">
        <v>0</v>
      </c>
      <c r="AA286" s="9">
        <v>0</v>
      </c>
      <c r="AB286" s="9">
        <v>0</v>
      </c>
      <c r="AC286" s="9">
        <v>0.25</v>
      </c>
      <c r="AD286" s="9">
        <v>0.75</v>
      </c>
    </row>
    <row r="287" spans="1:30" ht="51" hidden="1" x14ac:dyDescent="0.2">
      <c r="A287" s="7">
        <v>1259</v>
      </c>
      <c r="B287" s="8" t="s">
        <v>459</v>
      </c>
      <c r="C287" s="8" t="s">
        <v>255</v>
      </c>
      <c r="D287" s="9">
        <v>0.23157894736842108</v>
      </c>
      <c r="E287" s="8" t="s">
        <v>603</v>
      </c>
      <c r="F287" s="8" t="str">
        <f t="shared" si="4"/>
        <v>Wk1</v>
      </c>
      <c r="G287" s="9">
        <v>0</v>
      </c>
      <c r="H287" s="9">
        <v>0</v>
      </c>
      <c r="I287" s="9">
        <v>0</v>
      </c>
      <c r="J287" s="9">
        <v>0</v>
      </c>
      <c r="K287" s="9">
        <v>0</v>
      </c>
      <c r="L287" s="9">
        <v>0</v>
      </c>
      <c r="M287" s="9">
        <v>0</v>
      </c>
      <c r="N287" s="9">
        <v>1</v>
      </c>
      <c r="O287" s="9">
        <v>1</v>
      </c>
      <c r="P287" s="9">
        <v>1</v>
      </c>
      <c r="Q287" s="9">
        <v>0</v>
      </c>
      <c r="R287" s="9">
        <v>0</v>
      </c>
      <c r="S287" s="9">
        <v>0</v>
      </c>
      <c r="T287" s="9">
        <v>0</v>
      </c>
      <c r="U287" s="9">
        <v>0</v>
      </c>
      <c r="V287" s="9">
        <v>0</v>
      </c>
      <c r="W287" s="9">
        <v>0</v>
      </c>
      <c r="X287" s="9">
        <v>0</v>
      </c>
      <c r="Y287" s="9">
        <v>0</v>
      </c>
      <c r="Z287" s="9">
        <v>0.2</v>
      </c>
      <c r="AA287" s="9">
        <v>0.2</v>
      </c>
      <c r="AB287" s="9">
        <v>0.2</v>
      </c>
      <c r="AC287" s="9">
        <v>0.2</v>
      </c>
      <c r="AD287" s="9">
        <v>0</v>
      </c>
    </row>
    <row r="288" spans="1:30" ht="51" hidden="1" x14ac:dyDescent="0.2">
      <c r="A288" s="9">
        <v>1259</v>
      </c>
      <c r="B288" s="8" t="s">
        <v>459</v>
      </c>
      <c r="C288" s="8" t="s">
        <v>255</v>
      </c>
      <c r="D288" s="9">
        <v>0.23157894736842108</v>
      </c>
      <c r="E288" s="8" t="s">
        <v>604</v>
      </c>
      <c r="F288" s="8" t="str">
        <f t="shared" si="4"/>
        <v>Wk2</v>
      </c>
      <c r="G288" s="9">
        <v>0</v>
      </c>
      <c r="H288" s="9">
        <v>0</v>
      </c>
      <c r="I288" s="9">
        <v>0</v>
      </c>
      <c r="J288" s="9">
        <v>0</v>
      </c>
      <c r="K288" s="9">
        <v>0</v>
      </c>
      <c r="L288" s="9">
        <v>0</v>
      </c>
      <c r="M288" s="9">
        <v>0</v>
      </c>
      <c r="N288" s="9">
        <v>1</v>
      </c>
      <c r="O288" s="9">
        <v>1</v>
      </c>
      <c r="P288" s="9">
        <v>1</v>
      </c>
      <c r="Q288" s="9">
        <v>0</v>
      </c>
      <c r="R288" s="9">
        <v>0</v>
      </c>
      <c r="S288" s="9">
        <v>0</v>
      </c>
      <c r="T288" s="9">
        <v>0</v>
      </c>
      <c r="U288" s="9">
        <v>0</v>
      </c>
      <c r="V288" s="9">
        <v>0</v>
      </c>
      <c r="W288" s="9">
        <v>0</v>
      </c>
      <c r="X288" s="9">
        <v>0</v>
      </c>
      <c r="Y288" s="9">
        <v>0</v>
      </c>
      <c r="Z288" s="9">
        <v>0.2</v>
      </c>
      <c r="AA288" s="9">
        <v>0.2</v>
      </c>
      <c r="AB288" s="9">
        <v>0.2</v>
      </c>
      <c r="AC288" s="9">
        <v>0.2</v>
      </c>
      <c r="AD288" s="9">
        <v>0</v>
      </c>
    </row>
    <row r="289" spans="1:30" ht="63.75" hidden="1" x14ac:dyDescent="0.2">
      <c r="A289" s="7">
        <v>1260</v>
      </c>
      <c r="B289" s="8" t="s">
        <v>259</v>
      </c>
      <c r="C289" s="8" t="s">
        <v>255</v>
      </c>
      <c r="D289" s="9">
        <v>0.1141621621621622</v>
      </c>
      <c r="E289" s="8" t="s">
        <v>260</v>
      </c>
      <c r="F289" s="8" t="str">
        <f t="shared" si="4"/>
        <v>Wk1</v>
      </c>
      <c r="G289" s="9">
        <v>0</v>
      </c>
      <c r="H289" s="9">
        <v>0</v>
      </c>
      <c r="I289" s="9">
        <v>0</v>
      </c>
      <c r="J289" s="9">
        <v>0</v>
      </c>
      <c r="K289" s="9">
        <v>0</v>
      </c>
      <c r="L289" s="9">
        <v>0</v>
      </c>
      <c r="M289" s="9">
        <v>0</v>
      </c>
      <c r="N289" s="9">
        <v>0.25</v>
      </c>
      <c r="O289" s="9">
        <v>0.25</v>
      </c>
      <c r="P289" s="9">
        <v>0.5</v>
      </c>
      <c r="Q289" s="9">
        <v>0.5</v>
      </c>
      <c r="R289" s="9">
        <v>0.5</v>
      </c>
      <c r="S289" s="9">
        <v>1</v>
      </c>
      <c r="T289" s="9">
        <v>1</v>
      </c>
      <c r="U289" s="9">
        <v>0.5</v>
      </c>
      <c r="V289" s="9">
        <v>0.25</v>
      </c>
      <c r="W289" s="9">
        <v>0.25</v>
      </c>
      <c r="X289" s="9">
        <v>0.25</v>
      </c>
      <c r="Y289" s="9">
        <v>0.5</v>
      </c>
      <c r="Z289" s="9">
        <v>1</v>
      </c>
      <c r="AA289" s="9">
        <v>1</v>
      </c>
      <c r="AB289" s="9">
        <v>1</v>
      </c>
      <c r="AC289" s="9">
        <v>0.5</v>
      </c>
      <c r="AD289" s="9">
        <v>0</v>
      </c>
    </row>
    <row r="290" spans="1:30" ht="63.75" hidden="1" x14ac:dyDescent="0.2">
      <c r="A290" s="9">
        <v>1260</v>
      </c>
      <c r="B290" s="8" t="s">
        <v>259</v>
      </c>
      <c r="C290" s="8" t="s">
        <v>255</v>
      </c>
      <c r="D290" s="9">
        <v>0.1141621621621622</v>
      </c>
      <c r="E290" s="8" t="s">
        <v>605</v>
      </c>
      <c r="F290" s="8" t="str">
        <f t="shared" si="4"/>
        <v>Wk2</v>
      </c>
      <c r="G290" s="9">
        <v>0</v>
      </c>
      <c r="H290" s="9">
        <v>0</v>
      </c>
      <c r="I290" s="9">
        <v>0</v>
      </c>
      <c r="J290" s="9">
        <v>0</v>
      </c>
      <c r="K290" s="9">
        <v>0</v>
      </c>
      <c r="L290" s="9">
        <v>0</v>
      </c>
      <c r="M290" s="9">
        <v>0</v>
      </c>
      <c r="N290" s="9">
        <v>0</v>
      </c>
      <c r="O290" s="9">
        <v>0</v>
      </c>
      <c r="P290" s="9">
        <v>0</v>
      </c>
      <c r="Q290" s="9">
        <v>0</v>
      </c>
      <c r="R290" s="9">
        <v>0</v>
      </c>
      <c r="S290" s="9">
        <v>0</v>
      </c>
      <c r="T290" s="9">
        <v>0</v>
      </c>
      <c r="U290" s="9">
        <v>0</v>
      </c>
      <c r="V290" s="9">
        <v>0</v>
      </c>
      <c r="W290" s="9">
        <v>0</v>
      </c>
      <c r="X290" s="9">
        <v>0</v>
      </c>
      <c r="Y290" s="9">
        <v>0</v>
      </c>
      <c r="Z290" s="9">
        <v>0</v>
      </c>
      <c r="AA290" s="9">
        <v>0</v>
      </c>
      <c r="AB290" s="9">
        <v>0</v>
      </c>
      <c r="AC290" s="9">
        <v>0</v>
      </c>
      <c r="AD290" s="9">
        <v>0</v>
      </c>
    </row>
    <row r="291" spans="1:30" ht="51" hidden="1" x14ac:dyDescent="0.2">
      <c r="A291" s="7">
        <v>1261</v>
      </c>
      <c r="B291" s="8" t="s">
        <v>275</v>
      </c>
      <c r="C291" s="8" t="s">
        <v>255</v>
      </c>
      <c r="D291" s="9">
        <v>0.12100000000000001</v>
      </c>
      <c r="E291" s="8" t="s">
        <v>261</v>
      </c>
      <c r="F291" s="8" t="str">
        <f t="shared" si="4"/>
        <v>WK1</v>
      </c>
      <c r="G291" s="9">
        <v>0</v>
      </c>
      <c r="H291" s="9">
        <v>0</v>
      </c>
      <c r="I291" s="9">
        <v>0</v>
      </c>
      <c r="J291" s="9">
        <v>0</v>
      </c>
      <c r="K291" s="9">
        <v>0</v>
      </c>
      <c r="L291" s="9">
        <v>0</v>
      </c>
      <c r="M291" s="9">
        <v>0</v>
      </c>
      <c r="N291" s="9">
        <v>0</v>
      </c>
      <c r="O291" s="9">
        <v>1</v>
      </c>
      <c r="P291" s="9">
        <v>1</v>
      </c>
      <c r="Q291" s="9">
        <v>1</v>
      </c>
      <c r="R291" s="9">
        <v>1</v>
      </c>
      <c r="S291" s="9">
        <v>1</v>
      </c>
      <c r="T291" s="9">
        <v>1</v>
      </c>
      <c r="U291" s="9">
        <v>1</v>
      </c>
      <c r="V291" s="9">
        <v>1</v>
      </c>
      <c r="W291" s="9">
        <v>1</v>
      </c>
      <c r="X291" s="9">
        <v>1</v>
      </c>
      <c r="Y291" s="9">
        <v>0</v>
      </c>
      <c r="Z291" s="9">
        <v>0</v>
      </c>
      <c r="AA291" s="9">
        <v>0</v>
      </c>
      <c r="AB291" s="9">
        <v>0</v>
      </c>
      <c r="AC291" s="9">
        <v>0</v>
      </c>
      <c r="AD291" s="9">
        <v>0</v>
      </c>
    </row>
    <row r="292" spans="1:30" ht="51" hidden="1" x14ac:dyDescent="0.2">
      <c r="A292" s="9">
        <v>1261</v>
      </c>
      <c r="B292" s="8" t="s">
        <v>275</v>
      </c>
      <c r="C292" s="8" t="s">
        <v>255</v>
      </c>
      <c r="D292" s="9">
        <v>0.12100000000000001</v>
      </c>
      <c r="E292" s="8" t="s">
        <v>606</v>
      </c>
      <c r="F292" s="8" t="str">
        <f t="shared" si="4"/>
        <v>Wk2</v>
      </c>
      <c r="G292" s="9">
        <v>0</v>
      </c>
      <c r="H292" s="9">
        <v>0</v>
      </c>
      <c r="I292" s="9">
        <v>0</v>
      </c>
      <c r="J292" s="9">
        <v>0</v>
      </c>
      <c r="K292" s="9">
        <v>0</v>
      </c>
      <c r="L292" s="9">
        <v>0</v>
      </c>
      <c r="M292" s="9">
        <v>0</v>
      </c>
      <c r="N292" s="9">
        <v>0</v>
      </c>
      <c r="O292" s="9">
        <v>0</v>
      </c>
      <c r="P292" s="9">
        <v>0</v>
      </c>
      <c r="Q292" s="9">
        <v>0</v>
      </c>
      <c r="R292" s="9">
        <v>0</v>
      </c>
      <c r="S292" s="9">
        <v>0</v>
      </c>
      <c r="T292" s="9">
        <v>0</v>
      </c>
      <c r="U292" s="9">
        <v>0</v>
      </c>
      <c r="V292" s="9">
        <v>0</v>
      </c>
      <c r="W292" s="9">
        <v>0</v>
      </c>
      <c r="X292" s="9">
        <v>0</v>
      </c>
      <c r="Y292" s="9">
        <v>0</v>
      </c>
      <c r="Z292" s="9">
        <v>0</v>
      </c>
      <c r="AA292" s="9">
        <v>0</v>
      </c>
      <c r="AB292" s="9">
        <v>0</v>
      </c>
      <c r="AC292" s="9">
        <v>0</v>
      </c>
      <c r="AD292" s="9">
        <v>0</v>
      </c>
    </row>
    <row r="293" spans="1:30" ht="38.25" hidden="1" x14ac:dyDescent="0.2">
      <c r="A293" s="7">
        <v>1262</v>
      </c>
      <c r="B293" s="8" t="s">
        <v>459</v>
      </c>
      <c r="C293" s="8" t="s">
        <v>262</v>
      </c>
      <c r="D293" s="9">
        <v>0.23157894736842108</v>
      </c>
      <c r="E293" s="8" t="s">
        <v>607</v>
      </c>
      <c r="F293" s="8" t="str">
        <f t="shared" si="4"/>
        <v>Wk1</v>
      </c>
      <c r="G293" s="9">
        <v>0</v>
      </c>
      <c r="H293" s="9">
        <v>0</v>
      </c>
      <c r="I293" s="9">
        <v>0</v>
      </c>
      <c r="J293" s="9">
        <v>0</v>
      </c>
      <c r="K293" s="9">
        <v>0</v>
      </c>
      <c r="L293" s="9">
        <v>0</v>
      </c>
      <c r="M293" s="9">
        <v>0</v>
      </c>
      <c r="N293" s="9">
        <v>1</v>
      </c>
      <c r="O293" s="9">
        <v>1</v>
      </c>
      <c r="P293" s="9">
        <v>1</v>
      </c>
      <c r="Q293" s="9">
        <v>0</v>
      </c>
      <c r="R293" s="9">
        <v>0</v>
      </c>
      <c r="S293" s="9">
        <v>0</v>
      </c>
      <c r="T293" s="9">
        <v>0</v>
      </c>
      <c r="U293" s="9">
        <v>0</v>
      </c>
      <c r="V293" s="9">
        <v>0</v>
      </c>
      <c r="W293" s="9">
        <v>0</v>
      </c>
      <c r="X293" s="9">
        <v>0</v>
      </c>
      <c r="Y293" s="9">
        <v>0</v>
      </c>
      <c r="Z293" s="9">
        <v>0.2</v>
      </c>
      <c r="AA293" s="9">
        <v>0.2</v>
      </c>
      <c r="AB293" s="9">
        <v>0.2</v>
      </c>
      <c r="AC293" s="9">
        <v>0.2</v>
      </c>
      <c r="AD293" s="9">
        <v>0</v>
      </c>
    </row>
    <row r="294" spans="1:30" ht="38.25" hidden="1" x14ac:dyDescent="0.2">
      <c r="A294" s="9">
        <v>1262</v>
      </c>
      <c r="B294" s="8" t="s">
        <v>459</v>
      </c>
      <c r="C294" s="8" t="s">
        <v>262</v>
      </c>
      <c r="D294" s="9">
        <v>0.23157894736842108</v>
      </c>
      <c r="E294" s="8" t="s">
        <v>608</v>
      </c>
      <c r="F294" s="8" t="str">
        <f t="shared" si="4"/>
        <v>Wk2</v>
      </c>
      <c r="G294" s="9">
        <v>0</v>
      </c>
      <c r="H294" s="9">
        <v>0</v>
      </c>
      <c r="I294" s="9">
        <v>0</v>
      </c>
      <c r="J294" s="9">
        <v>0</v>
      </c>
      <c r="K294" s="9">
        <v>0</v>
      </c>
      <c r="L294" s="9">
        <v>0</v>
      </c>
      <c r="M294" s="9">
        <v>0</v>
      </c>
      <c r="N294" s="9">
        <v>1</v>
      </c>
      <c r="O294" s="9">
        <v>1</v>
      </c>
      <c r="P294" s="9">
        <v>1</v>
      </c>
      <c r="Q294" s="9">
        <v>0</v>
      </c>
      <c r="R294" s="9">
        <v>0</v>
      </c>
      <c r="S294" s="9">
        <v>0</v>
      </c>
      <c r="T294" s="9">
        <v>0</v>
      </c>
      <c r="U294" s="9">
        <v>0</v>
      </c>
      <c r="V294" s="9">
        <v>0</v>
      </c>
      <c r="W294" s="9">
        <v>0</v>
      </c>
      <c r="X294" s="9">
        <v>0</v>
      </c>
      <c r="Y294" s="9">
        <v>0</v>
      </c>
      <c r="Z294" s="9">
        <v>0.2</v>
      </c>
      <c r="AA294" s="9">
        <v>0.2</v>
      </c>
      <c r="AB294" s="9">
        <v>0.2</v>
      </c>
      <c r="AC294" s="9">
        <v>0.2</v>
      </c>
      <c r="AD294" s="9">
        <v>0</v>
      </c>
    </row>
    <row r="295" spans="1:30" ht="38.25" hidden="1" x14ac:dyDescent="0.2">
      <c r="A295" s="9">
        <v>1263</v>
      </c>
      <c r="B295" s="8" t="s">
        <v>80</v>
      </c>
      <c r="C295" s="8" t="s">
        <v>262</v>
      </c>
      <c r="D295" s="9">
        <v>0.12038095238095242</v>
      </c>
      <c r="E295" s="8" t="s">
        <v>263</v>
      </c>
      <c r="F295" s="8" t="str">
        <f t="shared" si="4"/>
        <v>Wk2</v>
      </c>
      <c r="G295" s="9">
        <v>1</v>
      </c>
      <c r="H295" s="9">
        <v>1</v>
      </c>
      <c r="I295" s="9">
        <v>1</v>
      </c>
      <c r="J295" s="9">
        <v>1</v>
      </c>
      <c r="K295" s="9">
        <v>1</v>
      </c>
      <c r="L295" s="9">
        <v>1</v>
      </c>
      <c r="M295" s="9">
        <v>1</v>
      </c>
      <c r="N295" s="9">
        <v>0.5</v>
      </c>
      <c r="O295" s="9">
        <v>0.25</v>
      </c>
      <c r="P295" s="9">
        <v>0</v>
      </c>
      <c r="Q295" s="9">
        <v>0</v>
      </c>
      <c r="R295" s="9">
        <v>0</v>
      </c>
      <c r="S295" s="9">
        <v>0</v>
      </c>
      <c r="T295" s="9">
        <v>0</v>
      </c>
      <c r="U295" s="9">
        <v>0</v>
      </c>
      <c r="V295" s="9">
        <v>0</v>
      </c>
      <c r="W295" s="9">
        <v>0</v>
      </c>
      <c r="X295" s="9">
        <v>0</v>
      </c>
      <c r="Y295" s="9">
        <v>0</v>
      </c>
      <c r="Z295" s="9">
        <v>0</v>
      </c>
      <c r="AA295" s="9">
        <v>0</v>
      </c>
      <c r="AB295" s="9">
        <v>0</v>
      </c>
      <c r="AC295" s="9">
        <v>0.25</v>
      </c>
      <c r="AD295" s="9">
        <v>0.75</v>
      </c>
    </row>
    <row r="296" spans="1:30" ht="38.25" hidden="1" x14ac:dyDescent="0.2">
      <c r="A296" s="7">
        <v>1263</v>
      </c>
      <c r="B296" s="8" t="s">
        <v>80</v>
      </c>
      <c r="C296" s="8" t="s">
        <v>262</v>
      </c>
      <c r="D296" s="9">
        <v>0.12038095238095242</v>
      </c>
      <c r="E296" s="8" t="s">
        <v>609</v>
      </c>
      <c r="F296" s="8" t="str">
        <f t="shared" si="4"/>
        <v>Wk1</v>
      </c>
      <c r="G296" s="9">
        <v>1</v>
      </c>
      <c r="H296" s="9">
        <v>1</v>
      </c>
      <c r="I296" s="9">
        <v>1</v>
      </c>
      <c r="J296" s="9">
        <v>1</v>
      </c>
      <c r="K296" s="9">
        <v>1</v>
      </c>
      <c r="L296" s="9">
        <v>1</v>
      </c>
      <c r="M296" s="9">
        <v>1</v>
      </c>
      <c r="N296" s="9">
        <v>0.5</v>
      </c>
      <c r="O296" s="9">
        <v>0.25</v>
      </c>
      <c r="P296" s="9">
        <v>0</v>
      </c>
      <c r="Q296" s="9">
        <v>0</v>
      </c>
      <c r="R296" s="9">
        <v>0</v>
      </c>
      <c r="S296" s="9">
        <v>0</v>
      </c>
      <c r="T296" s="9">
        <v>0</v>
      </c>
      <c r="U296" s="9">
        <v>0</v>
      </c>
      <c r="V296" s="9">
        <v>0</v>
      </c>
      <c r="W296" s="9">
        <v>0</v>
      </c>
      <c r="X296" s="9">
        <v>0</v>
      </c>
      <c r="Y296" s="9">
        <v>0</v>
      </c>
      <c r="Z296" s="9">
        <v>0</v>
      </c>
      <c r="AA296" s="9">
        <v>0</v>
      </c>
      <c r="AB296" s="9">
        <v>0</v>
      </c>
      <c r="AC296" s="9">
        <v>0.25</v>
      </c>
      <c r="AD296" s="9">
        <v>0.75</v>
      </c>
    </row>
    <row r="297" spans="1:30" ht="38.25" hidden="1" x14ac:dyDescent="0.2">
      <c r="A297" s="7">
        <v>1264</v>
      </c>
      <c r="B297" s="8" t="s">
        <v>127</v>
      </c>
      <c r="C297" s="8" t="s">
        <v>262</v>
      </c>
      <c r="D297" s="9">
        <v>0.13386904761904769</v>
      </c>
      <c r="E297" s="8" t="s">
        <v>264</v>
      </c>
      <c r="F297" s="8" t="str">
        <f t="shared" si="4"/>
        <v>Wk1</v>
      </c>
      <c r="G297" s="9">
        <v>0</v>
      </c>
      <c r="H297" s="9">
        <v>0</v>
      </c>
      <c r="I297" s="9">
        <v>0</v>
      </c>
      <c r="J297" s="9">
        <v>0</v>
      </c>
      <c r="K297" s="9">
        <v>0</v>
      </c>
      <c r="L297" s="9">
        <v>0</v>
      </c>
      <c r="M297" s="9">
        <v>0</v>
      </c>
      <c r="N297" s="9">
        <v>0</v>
      </c>
      <c r="O297" s="9">
        <v>0</v>
      </c>
      <c r="P297" s="9">
        <v>0.75</v>
      </c>
      <c r="Q297" s="9">
        <v>1</v>
      </c>
      <c r="R297" s="9">
        <v>1</v>
      </c>
      <c r="S297" s="9">
        <v>0.75</v>
      </c>
      <c r="T297" s="9">
        <v>0.75</v>
      </c>
      <c r="U297" s="9">
        <v>1</v>
      </c>
      <c r="V297" s="9">
        <v>1</v>
      </c>
      <c r="W297" s="9">
        <v>1</v>
      </c>
      <c r="X297" s="9">
        <v>0.75</v>
      </c>
      <c r="Y297" s="9">
        <v>0</v>
      </c>
      <c r="Z297" s="9">
        <v>0</v>
      </c>
      <c r="AA297" s="9">
        <v>0</v>
      </c>
      <c r="AB297" s="9">
        <v>0</v>
      </c>
      <c r="AC297" s="9">
        <v>0</v>
      </c>
      <c r="AD297" s="9">
        <v>0</v>
      </c>
    </row>
    <row r="298" spans="1:30" ht="38.25" hidden="1" x14ac:dyDescent="0.2">
      <c r="A298" s="9">
        <v>1264</v>
      </c>
      <c r="B298" s="8" t="s">
        <v>127</v>
      </c>
      <c r="C298" s="8" t="s">
        <v>262</v>
      </c>
      <c r="D298" s="9">
        <v>0.13386904761904769</v>
      </c>
      <c r="E298" s="8" t="s">
        <v>610</v>
      </c>
      <c r="F298" s="8" t="str">
        <f t="shared" si="4"/>
        <v>Wk2</v>
      </c>
      <c r="G298" s="9">
        <v>0</v>
      </c>
      <c r="H298" s="9">
        <v>0</v>
      </c>
      <c r="I298" s="9">
        <v>0</v>
      </c>
      <c r="J298" s="9">
        <v>0</v>
      </c>
      <c r="K298" s="9">
        <v>0</v>
      </c>
      <c r="L298" s="9">
        <v>0</v>
      </c>
      <c r="M298" s="9">
        <v>0</v>
      </c>
      <c r="N298" s="9">
        <v>0</v>
      </c>
      <c r="O298" s="9">
        <v>0</v>
      </c>
      <c r="P298" s="9">
        <v>0.75</v>
      </c>
      <c r="Q298" s="9">
        <v>1</v>
      </c>
      <c r="R298" s="9">
        <v>1</v>
      </c>
      <c r="S298" s="9">
        <v>0.75</v>
      </c>
      <c r="T298" s="9">
        <v>0.75</v>
      </c>
      <c r="U298" s="9">
        <v>1</v>
      </c>
      <c r="V298" s="9">
        <v>1</v>
      </c>
      <c r="W298" s="9">
        <v>1</v>
      </c>
      <c r="X298" s="9">
        <v>0.75</v>
      </c>
      <c r="Y298" s="9">
        <v>0</v>
      </c>
      <c r="Z298" s="9">
        <v>0</v>
      </c>
      <c r="AA298" s="9">
        <v>0</v>
      </c>
      <c r="AB298" s="9">
        <v>0</v>
      </c>
      <c r="AC298" s="9">
        <v>0</v>
      </c>
      <c r="AD298" s="9">
        <v>0</v>
      </c>
    </row>
    <row r="299" spans="1:30" ht="38.25" hidden="1" x14ac:dyDescent="0.2">
      <c r="A299" s="7">
        <v>1265</v>
      </c>
      <c r="B299" s="8" t="s">
        <v>420</v>
      </c>
      <c r="C299" s="8" t="s">
        <v>262</v>
      </c>
      <c r="D299" s="9">
        <v>0.10647435897435899</v>
      </c>
      <c r="E299" s="8" t="s">
        <v>611</v>
      </c>
      <c r="F299" s="8" t="str">
        <f t="shared" si="4"/>
        <v>Wk1</v>
      </c>
      <c r="G299" s="9">
        <v>0</v>
      </c>
      <c r="H299" s="9">
        <v>0</v>
      </c>
      <c r="I299" s="9">
        <v>0</v>
      </c>
      <c r="J299" s="9">
        <v>0</v>
      </c>
      <c r="K299" s="9">
        <v>0</v>
      </c>
      <c r="L299" s="9">
        <v>0</v>
      </c>
      <c r="M299" s="9">
        <v>0</v>
      </c>
      <c r="N299" s="9">
        <v>0</v>
      </c>
      <c r="O299" s="9">
        <v>1</v>
      </c>
      <c r="P299" s="9">
        <v>1</v>
      </c>
      <c r="Q299" s="9">
        <v>1</v>
      </c>
      <c r="R299" s="9">
        <v>1</v>
      </c>
      <c r="S299" s="9">
        <v>1</v>
      </c>
      <c r="T299" s="9">
        <v>1</v>
      </c>
      <c r="U299" s="9">
        <v>1</v>
      </c>
      <c r="V299" s="9">
        <v>1</v>
      </c>
      <c r="W299" s="9">
        <v>1</v>
      </c>
      <c r="X299" s="9">
        <v>1</v>
      </c>
      <c r="Y299" s="9">
        <v>0</v>
      </c>
      <c r="Z299" s="9">
        <v>0</v>
      </c>
      <c r="AA299" s="9">
        <v>0</v>
      </c>
      <c r="AB299" s="9">
        <v>0</v>
      </c>
      <c r="AC299" s="9">
        <v>0</v>
      </c>
      <c r="AD299" s="9">
        <v>0</v>
      </c>
    </row>
    <row r="300" spans="1:30" ht="38.25" hidden="1" x14ac:dyDescent="0.2">
      <c r="A300" s="9">
        <v>1265</v>
      </c>
      <c r="B300" s="8" t="s">
        <v>420</v>
      </c>
      <c r="C300" s="8" t="s">
        <v>262</v>
      </c>
      <c r="D300" s="9">
        <v>0.10647435897435899</v>
      </c>
      <c r="E300" s="8" t="s">
        <v>612</v>
      </c>
      <c r="F300" s="8" t="str">
        <f t="shared" si="4"/>
        <v>Wk2</v>
      </c>
      <c r="G300" s="9">
        <v>0</v>
      </c>
      <c r="H300" s="9">
        <v>0</v>
      </c>
      <c r="I300" s="9">
        <v>0</v>
      </c>
      <c r="J300" s="9">
        <v>0</v>
      </c>
      <c r="K300" s="9">
        <v>0</v>
      </c>
      <c r="L300" s="9">
        <v>0</v>
      </c>
      <c r="M300" s="9">
        <v>0</v>
      </c>
      <c r="N300" s="9">
        <v>0</v>
      </c>
      <c r="O300" s="9">
        <v>0</v>
      </c>
      <c r="P300" s="9">
        <v>1</v>
      </c>
      <c r="Q300" s="9">
        <v>1</v>
      </c>
      <c r="R300" s="9">
        <v>1</v>
      </c>
      <c r="S300" s="9">
        <v>1</v>
      </c>
      <c r="T300" s="9">
        <v>1</v>
      </c>
      <c r="U300" s="9">
        <v>1</v>
      </c>
      <c r="V300" s="9">
        <v>1</v>
      </c>
      <c r="W300" s="9">
        <v>1</v>
      </c>
      <c r="X300" s="9">
        <v>0</v>
      </c>
      <c r="Y300" s="9">
        <v>0</v>
      </c>
      <c r="Z300" s="9">
        <v>0</v>
      </c>
      <c r="AA300" s="9">
        <v>0</v>
      </c>
      <c r="AB300" s="9">
        <v>0</v>
      </c>
      <c r="AC300" s="9">
        <v>0</v>
      </c>
      <c r="AD300" s="9">
        <v>0</v>
      </c>
    </row>
    <row r="301" spans="1:30" ht="38.25" hidden="1" x14ac:dyDescent="0.2">
      <c r="A301" s="9">
        <v>1266</v>
      </c>
      <c r="B301" s="8" t="s">
        <v>92</v>
      </c>
      <c r="C301" s="8" t="s">
        <v>262</v>
      </c>
      <c r="D301" s="9">
        <v>0.2034246575342466</v>
      </c>
      <c r="E301" s="8" t="s">
        <v>265</v>
      </c>
      <c r="F301" s="8" t="str">
        <f t="shared" si="4"/>
        <v>Wk2</v>
      </c>
      <c r="G301" s="9">
        <v>0</v>
      </c>
      <c r="H301" s="9">
        <v>0</v>
      </c>
      <c r="I301" s="9">
        <v>0</v>
      </c>
      <c r="J301" s="9">
        <v>0</v>
      </c>
      <c r="K301" s="9">
        <v>0</v>
      </c>
      <c r="L301" s="9">
        <v>0</v>
      </c>
      <c r="M301" s="9">
        <v>0</v>
      </c>
      <c r="N301" s="9">
        <v>0</v>
      </c>
      <c r="O301" s="9">
        <v>0</v>
      </c>
      <c r="P301" s="9">
        <v>1</v>
      </c>
      <c r="Q301" s="9">
        <v>1</v>
      </c>
      <c r="R301" s="9">
        <v>1</v>
      </c>
      <c r="S301" s="9">
        <v>1</v>
      </c>
      <c r="T301" s="9">
        <v>1</v>
      </c>
      <c r="U301" s="9">
        <v>1</v>
      </c>
      <c r="V301" s="9">
        <v>1</v>
      </c>
      <c r="W301" s="9">
        <v>1</v>
      </c>
      <c r="X301" s="9">
        <v>0</v>
      </c>
      <c r="Y301" s="9">
        <v>0</v>
      </c>
      <c r="Z301" s="9">
        <v>0</v>
      </c>
      <c r="AA301" s="9">
        <v>0</v>
      </c>
      <c r="AB301" s="9">
        <v>0</v>
      </c>
      <c r="AC301" s="9">
        <v>0</v>
      </c>
      <c r="AD301" s="9">
        <v>0</v>
      </c>
    </row>
    <row r="302" spans="1:30" ht="38.25" hidden="1" x14ac:dyDescent="0.2">
      <c r="A302" s="7">
        <v>1266</v>
      </c>
      <c r="B302" s="8" t="s">
        <v>92</v>
      </c>
      <c r="C302" s="8" t="s">
        <v>262</v>
      </c>
      <c r="D302" s="9">
        <v>0.2034246575342466</v>
      </c>
      <c r="E302" s="8" t="s">
        <v>266</v>
      </c>
      <c r="F302" s="8" t="str">
        <f t="shared" si="4"/>
        <v>Wk1</v>
      </c>
      <c r="G302" s="9">
        <v>0</v>
      </c>
      <c r="H302" s="9">
        <v>0</v>
      </c>
      <c r="I302" s="9">
        <v>0</v>
      </c>
      <c r="J302" s="9">
        <v>0</v>
      </c>
      <c r="K302" s="9">
        <v>0</v>
      </c>
      <c r="L302" s="9">
        <v>0</v>
      </c>
      <c r="M302" s="9">
        <v>0</v>
      </c>
      <c r="N302" s="9">
        <v>0.25</v>
      </c>
      <c r="O302" s="9">
        <v>0.5</v>
      </c>
      <c r="P302" s="9">
        <v>1</v>
      </c>
      <c r="Q302" s="9">
        <v>1</v>
      </c>
      <c r="R302" s="9">
        <v>1</v>
      </c>
      <c r="S302" s="9">
        <v>0.75</v>
      </c>
      <c r="T302" s="9">
        <v>0.75</v>
      </c>
      <c r="U302" s="9">
        <v>1</v>
      </c>
      <c r="V302" s="9">
        <v>1</v>
      </c>
      <c r="W302" s="9">
        <v>1</v>
      </c>
      <c r="X302" s="9">
        <v>0.5</v>
      </c>
      <c r="Y302" s="9">
        <v>0.25</v>
      </c>
      <c r="Z302" s="9">
        <v>0</v>
      </c>
      <c r="AA302" s="9">
        <v>0</v>
      </c>
      <c r="AB302" s="9">
        <v>0</v>
      </c>
      <c r="AC302" s="9">
        <v>0</v>
      </c>
      <c r="AD302" s="9">
        <v>0</v>
      </c>
    </row>
    <row r="303" spans="1:30" ht="51" hidden="1" x14ac:dyDescent="0.2">
      <c r="A303" s="7">
        <v>1267</v>
      </c>
      <c r="B303" s="8" t="s">
        <v>259</v>
      </c>
      <c r="C303" s="8" t="s">
        <v>262</v>
      </c>
      <c r="D303" s="9">
        <v>0.1141621621621622</v>
      </c>
      <c r="E303" s="8" t="s">
        <v>6</v>
      </c>
      <c r="F303" s="8" t="str">
        <f t="shared" si="4"/>
        <v>Wk1</v>
      </c>
      <c r="G303" s="9">
        <v>0</v>
      </c>
      <c r="H303" s="9">
        <v>0</v>
      </c>
      <c r="I303" s="9">
        <v>0</v>
      </c>
      <c r="J303" s="9">
        <v>0</v>
      </c>
      <c r="K303" s="9">
        <v>0</v>
      </c>
      <c r="L303" s="9">
        <v>0</v>
      </c>
      <c r="M303" s="9">
        <v>0</v>
      </c>
      <c r="N303" s="9">
        <v>0.25</v>
      </c>
      <c r="O303" s="9">
        <v>0.25</v>
      </c>
      <c r="P303" s="9">
        <v>0.5</v>
      </c>
      <c r="Q303" s="9">
        <v>0.5</v>
      </c>
      <c r="R303" s="9">
        <v>0.5</v>
      </c>
      <c r="S303" s="9">
        <v>1</v>
      </c>
      <c r="T303" s="9">
        <v>1</v>
      </c>
      <c r="U303" s="9">
        <v>0.5</v>
      </c>
      <c r="V303" s="9">
        <v>0.25</v>
      </c>
      <c r="W303" s="9">
        <v>0.25</v>
      </c>
      <c r="X303" s="9">
        <v>0.25</v>
      </c>
      <c r="Y303" s="9">
        <v>0.5</v>
      </c>
      <c r="Z303" s="9">
        <v>1</v>
      </c>
      <c r="AA303" s="9">
        <v>1</v>
      </c>
      <c r="AB303" s="9">
        <v>1</v>
      </c>
      <c r="AC303" s="9">
        <v>0.5</v>
      </c>
      <c r="AD303" s="9">
        <v>0</v>
      </c>
    </row>
    <row r="304" spans="1:30" ht="51" hidden="1" x14ac:dyDescent="0.2">
      <c r="A304" s="9">
        <v>1267</v>
      </c>
      <c r="B304" s="8" t="s">
        <v>259</v>
      </c>
      <c r="C304" s="8" t="s">
        <v>262</v>
      </c>
      <c r="D304" s="9">
        <v>0.1141621621621622</v>
      </c>
      <c r="E304" s="8" t="s">
        <v>613</v>
      </c>
      <c r="F304" s="8" t="str">
        <f t="shared" si="4"/>
        <v>Wk2</v>
      </c>
      <c r="G304" s="9">
        <v>0</v>
      </c>
      <c r="H304" s="9">
        <v>0</v>
      </c>
      <c r="I304" s="9">
        <v>0</v>
      </c>
      <c r="J304" s="9">
        <v>0</v>
      </c>
      <c r="K304" s="9">
        <v>0</v>
      </c>
      <c r="L304" s="9">
        <v>0</v>
      </c>
      <c r="M304" s="9">
        <v>0</v>
      </c>
      <c r="N304" s="9">
        <v>0</v>
      </c>
      <c r="O304" s="9">
        <v>0</v>
      </c>
      <c r="P304" s="9">
        <v>0</v>
      </c>
      <c r="Q304" s="9">
        <v>0</v>
      </c>
      <c r="R304" s="9">
        <v>0</v>
      </c>
      <c r="S304" s="9">
        <v>0</v>
      </c>
      <c r="T304" s="9">
        <v>0</v>
      </c>
      <c r="U304" s="9">
        <v>0</v>
      </c>
      <c r="V304" s="9">
        <v>0</v>
      </c>
      <c r="W304" s="9">
        <v>0</v>
      </c>
      <c r="X304" s="9">
        <v>0</v>
      </c>
      <c r="Y304" s="9">
        <v>0</v>
      </c>
      <c r="Z304" s="9">
        <v>0</v>
      </c>
      <c r="AA304" s="9">
        <v>0</v>
      </c>
      <c r="AB304" s="9">
        <v>0</v>
      </c>
      <c r="AC304" s="9">
        <v>0</v>
      </c>
      <c r="AD304" s="9">
        <v>0</v>
      </c>
    </row>
    <row r="305" spans="1:30" ht="38.25" hidden="1" x14ac:dyDescent="0.2">
      <c r="A305" s="7">
        <v>1268</v>
      </c>
      <c r="B305" s="8" t="s">
        <v>367</v>
      </c>
      <c r="C305" s="8" t="s">
        <v>262</v>
      </c>
      <c r="D305" s="9">
        <v>5.3620218580327859E-2</v>
      </c>
      <c r="E305" s="8" t="s">
        <v>7</v>
      </c>
      <c r="F305" s="8" t="str">
        <f t="shared" si="4"/>
        <v>Wk1</v>
      </c>
      <c r="G305" s="9">
        <v>0</v>
      </c>
      <c r="H305" s="9">
        <v>0</v>
      </c>
      <c r="I305" s="9">
        <v>0</v>
      </c>
      <c r="J305" s="9">
        <v>0</v>
      </c>
      <c r="K305" s="9">
        <v>0</v>
      </c>
      <c r="L305" s="9">
        <v>0</v>
      </c>
      <c r="M305" s="9">
        <v>0</v>
      </c>
      <c r="N305" s="9">
        <v>0.25</v>
      </c>
      <c r="O305" s="9">
        <v>0.5</v>
      </c>
      <c r="P305" s="9">
        <v>1</v>
      </c>
      <c r="Q305" s="9">
        <v>1</v>
      </c>
      <c r="R305" s="9">
        <v>1</v>
      </c>
      <c r="S305" s="9">
        <v>0.75</v>
      </c>
      <c r="T305" s="9">
        <v>0.75</v>
      </c>
      <c r="U305" s="9">
        <v>1</v>
      </c>
      <c r="V305" s="9">
        <v>1</v>
      </c>
      <c r="W305" s="9">
        <v>1</v>
      </c>
      <c r="X305" s="9">
        <v>0.5</v>
      </c>
      <c r="Y305" s="9">
        <v>0.25</v>
      </c>
      <c r="Z305" s="9">
        <v>0</v>
      </c>
      <c r="AA305" s="9">
        <v>0</v>
      </c>
      <c r="AB305" s="9">
        <v>0</v>
      </c>
      <c r="AC305" s="9">
        <v>0</v>
      </c>
      <c r="AD305" s="9">
        <v>0</v>
      </c>
    </row>
    <row r="306" spans="1:30" ht="38.25" hidden="1" x14ac:dyDescent="0.2">
      <c r="A306" s="9">
        <v>1268</v>
      </c>
      <c r="B306" s="8" t="s">
        <v>367</v>
      </c>
      <c r="C306" s="8" t="s">
        <v>262</v>
      </c>
      <c r="D306" s="9">
        <v>5.3620218580327859E-2</v>
      </c>
      <c r="E306" s="8" t="s">
        <v>465</v>
      </c>
      <c r="F306" s="8" t="str">
        <f t="shared" si="4"/>
        <v>Wk2</v>
      </c>
      <c r="G306" s="9">
        <v>0</v>
      </c>
      <c r="H306" s="9">
        <v>0</v>
      </c>
      <c r="I306" s="9">
        <v>0</v>
      </c>
      <c r="J306" s="9">
        <v>0</v>
      </c>
      <c r="K306" s="9">
        <v>0</v>
      </c>
      <c r="L306" s="9">
        <v>0</v>
      </c>
      <c r="M306" s="9">
        <v>0</v>
      </c>
      <c r="N306" s="9">
        <v>0</v>
      </c>
      <c r="O306" s="9">
        <v>0</v>
      </c>
      <c r="P306" s="9">
        <v>0</v>
      </c>
      <c r="Q306" s="9">
        <v>0</v>
      </c>
      <c r="R306" s="9">
        <v>0</v>
      </c>
      <c r="S306" s="9">
        <v>0</v>
      </c>
      <c r="T306" s="9">
        <v>0</v>
      </c>
      <c r="U306" s="9">
        <v>0</v>
      </c>
      <c r="V306" s="9">
        <v>0</v>
      </c>
      <c r="W306" s="9">
        <v>0</v>
      </c>
      <c r="X306" s="9">
        <v>0</v>
      </c>
      <c r="Y306" s="9">
        <v>0</v>
      </c>
      <c r="Z306" s="9">
        <v>0</v>
      </c>
      <c r="AA306" s="9">
        <v>0</v>
      </c>
      <c r="AB306" s="9">
        <v>0</v>
      </c>
      <c r="AC306" s="9">
        <v>0</v>
      </c>
      <c r="AD306" s="9">
        <v>0</v>
      </c>
    </row>
    <row r="307" spans="1:30" ht="38.25" x14ac:dyDescent="0.2">
      <c r="A307" s="7">
        <v>1269</v>
      </c>
      <c r="B307" s="8" t="s">
        <v>104</v>
      </c>
      <c r="C307" s="8" t="s">
        <v>262</v>
      </c>
      <c r="D307" s="9">
        <v>0.2062385321100918</v>
      </c>
      <c r="E307" s="8" t="s">
        <v>8</v>
      </c>
      <c r="F307" s="8" t="str">
        <f t="shared" si="4"/>
        <v>Wk1</v>
      </c>
      <c r="G307" s="9">
        <v>0</v>
      </c>
      <c r="H307" s="9">
        <v>0</v>
      </c>
      <c r="I307" s="9">
        <v>0</v>
      </c>
      <c r="J307" s="9">
        <v>0</v>
      </c>
      <c r="K307" s="9">
        <v>0</v>
      </c>
      <c r="L307" s="9">
        <v>0</v>
      </c>
      <c r="M307" s="9">
        <v>0</v>
      </c>
      <c r="N307" s="9">
        <v>0</v>
      </c>
      <c r="O307" s="9">
        <v>0</v>
      </c>
      <c r="P307" s="9">
        <v>0.75</v>
      </c>
      <c r="Q307" s="9">
        <v>1</v>
      </c>
      <c r="R307" s="9">
        <v>1</v>
      </c>
      <c r="S307" s="9">
        <v>0.75</v>
      </c>
      <c r="T307" s="9">
        <v>0.75</v>
      </c>
      <c r="U307" s="9">
        <v>1</v>
      </c>
      <c r="V307" s="9">
        <v>1</v>
      </c>
      <c r="W307" s="9">
        <v>1</v>
      </c>
      <c r="X307" s="9">
        <v>0.75</v>
      </c>
      <c r="Y307" s="9">
        <v>0</v>
      </c>
      <c r="Z307" s="9">
        <v>0</v>
      </c>
      <c r="AA307" s="9">
        <v>0</v>
      </c>
      <c r="AB307" s="9">
        <v>0</v>
      </c>
      <c r="AC307" s="9">
        <v>0</v>
      </c>
      <c r="AD307" s="9">
        <v>0</v>
      </c>
    </row>
    <row r="308" spans="1:30" ht="38.25" hidden="1" x14ac:dyDescent="0.2">
      <c r="A308" s="9">
        <v>1269</v>
      </c>
      <c r="B308" s="8" t="s">
        <v>104</v>
      </c>
      <c r="C308" s="8" t="s">
        <v>262</v>
      </c>
      <c r="D308" s="9">
        <v>0.2062385321100918</v>
      </c>
      <c r="E308" s="8" t="s">
        <v>466</v>
      </c>
      <c r="F308" s="8" t="str">
        <f t="shared" si="4"/>
        <v>Wk2</v>
      </c>
      <c r="G308" s="9">
        <v>0</v>
      </c>
      <c r="H308" s="9">
        <v>0</v>
      </c>
      <c r="I308" s="9">
        <v>0</v>
      </c>
      <c r="J308" s="9">
        <v>0</v>
      </c>
      <c r="K308" s="9">
        <v>0</v>
      </c>
      <c r="L308" s="9">
        <v>0</v>
      </c>
      <c r="M308" s="9">
        <v>0</v>
      </c>
      <c r="N308" s="9">
        <v>0</v>
      </c>
      <c r="O308" s="9">
        <v>0</v>
      </c>
      <c r="P308" s="9">
        <v>0</v>
      </c>
      <c r="Q308" s="9">
        <v>0</v>
      </c>
      <c r="R308" s="9">
        <v>0.25</v>
      </c>
      <c r="S308" s="9">
        <v>1</v>
      </c>
      <c r="T308" s="9">
        <v>1</v>
      </c>
      <c r="U308" s="9">
        <v>0.75</v>
      </c>
      <c r="V308" s="9">
        <v>0</v>
      </c>
      <c r="W308" s="9">
        <v>0</v>
      </c>
      <c r="X308" s="9">
        <v>0</v>
      </c>
      <c r="Y308" s="9">
        <v>0</v>
      </c>
      <c r="Z308" s="9">
        <v>0</v>
      </c>
      <c r="AA308" s="9">
        <v>0</v>
      </c>
      <c r="AB308" s="9">
        <v>0</v>
      </c>
      <c r="AC308" s="9">
        <v>0</v>
      </c>
      <c r="AD308" s="9">
        <v>0</v>
      </c>
    </row>
    <row r="309" spans="1:30" ht="38.25" hidden="1" x14ac:dyDescent="0.2">
      <c r="A309" s="7">
        <v>1270</v>
      </c>
      <c r="B309" s="8" t="s">
        <v>85</v>
      </c>
      <c r="C309" s="8" t="s">
        <v>262</v>
      </c>
      <c r="D309" s="9">
        <v>0.18230874317311468</v>
      </c>
      <c r="E309" s="8" t="s">
        <v>9</v>
      </c>
      <c r="F309" s="8" t="str">
        <f t="shared" si="4"/>
        <v>Wk1</v>
      </c>
      <c r="G309" s="9">
        <v>0</v>
      </c>
      <c r="H309" s="9">
        <v>0</v>
      </c>
      <c r="I309" s="9">
        <v>0</v>
      </c>
      <c r="J309" s="9">
        <v>0</v>
      </c>
      <c r="K309" s="9">
        <v>0</v>
      </c>
      <c r="L309" s="9">
        <v>0</v>
      </c>
      <c r="M309" s="9">
        <v>0</v>
      </c>
      <c r="N309" s="9">
        <v>0.25</v>
      </c>
      <c r="O309" s="9">
        <v>0.5</v>
      </c>
      <c r="P309" s="9">
        <v>1</v>
      </c>
      <c r="Q309" s="9">
        <v>1</v>
      </c>
      <c r="R309" s="9">
        <v>1</v>
      </c>
      <c r="S309" s="9">
        <v>0.75</v>
      </c>
      <c r="T309" s="9">
        <v>0.75</v>
      </c>
      <c r="U309" s="9">
        <v>1</v>
      </c>
      <c r="V309" s="9">
        <v>1</v>
      </c>
      <c r="W309" s="9">
        <v>1</v>
      </c>
      <c r="X309" s="9">
        <v>0.5</v>
      </c>
      <c r="Y309" s="9">
        <v>0.25</v>
      </c>
      <c r="Z309" s="9">
        <v>0</v>
      </c>
      <c r="AA309" s="9">
        <v>0</v>
      </c>
      <c r="AB309" s="9">
        <v>0</v>
      </c>
      <c r="AC309" s="9">
        <v>0</v>
      </c>
      <c r="AD309" s="9">
        <v>0</v>
      </c>
    </row>
    <row r="310" spans="1:30" ht="38.25" hidden="1" x14ac:dyDescent="0.2">
      <c r="A310" s="9">
        <v>1270</v>
      </c>
      <c r="B310" s="8" t="s">
        <v>85</v>
      </c>
      <c r="C310" s="8" t="s">
        <v>262</v>
      </c>
      <c r="D310" s="9">
        <v>0.18230874317311468</v>
      </c>
      <c r="E310" s="8" t="s">
        <v>467</v>
      </c>
      <c r="F310" s="8" t="str">
        <f t="shared" si="4"/>
        <v>Wk2</v>
      </c>
      <c r="G310" s="9">
        <v>0</v>
      </c>
      <c r="H310" s="9">
        <v>0</v>
      </c>
      <c r="I310" s="9">
        <v>0</v>
      </c>
      <c r="J310" s="9">
        <v>0</v>
      </c>
      <c r="K310" s="9">
        <v>0</v>
      </c>
      <c r="L310" s="9">
        <v>0</v>
      </c>
      <c r="M310" s="9">
        <v>0</v>
      </c>
      <c r="N310" s="9">
        <v>0</v>
      </c>
      <c r="O310" s="9">
        <v>0</v>
      </c>
      <c r="P310" s="9">
        <v>0</v>
      </c>
      <c r="Q310" s="9">
        <v>0</v>
      </c>
      <c r="R310" s="9">
        <v>0</v>
      </c>
      <c r="S310" s="9">
        <v>0</v>
      </c>
      <c r="T310" s="9">
        <v>0</v>
      </c>
      <c r="U310" s="9">
        <v>0</v>
      </c>
      <c r="V310" s="9">
        <v>0</v>
      </c>
      <c r="W310" s="9">
        <v>0</v>
      </c>
      <c r="X310" s="9">
        <v>0</v>
      </c>
      <c r="Y310" s="9">
        <v>0</v>
      </c>
      <c r="Z310" s="9">
        <v>0</v>
      </c>
      <c r="AA310" s="9">
        <v>0</v>
      </c>
      <c r="AB310" s="9">
        <v>0</v>
      </c>
      <c r="AC310" s="9">
        <v>0</v>
      </c>
      <c r="AD310" s="9">
        <v>0</v>
      </c>
    </row>
    <row r="311" spans="1:30" ht="38.25" hidden="1" x14ac:dyDescent="0.2">
      <c r="A311" s="7">
        <v>1271</v>
      </c>
      <c r="B311" s="8" t="s">
        <v>273</v>
      </c>
      <c r="C311" s="8" t="s">
        <v>262</v>
      </c>
      <c r="D311" s="9">
        <v>9.5609589041095927E-2</v>
      </c>
      <c r="E311" s="8" t="s">
        <v>10</v>
      </c>
      <c r="F311" s="8" t="str">
        <f t="shared" si="4"/>
        <v>Wk1</v>
      </c>
      <c r="G311" s="9">
        <v>0</v>
      </c>
      <c r="H311" s="9">
        <v>0</v>
      </c>
      <c r="I311" s="9">
        <v>0</v>
      </c>
      <c r="J311" s="9">
        <v>0</v>
      </c>
      <c r="K311" s="9">
        <v>0</v>
      </c>
      <c r="L311" s="9">
        <v>0</v>
      </c>
      <c r="M311" s="9">
        <v>0</v>
      </c>
      <c r="N311" s="9">
        <v>0</v>
      </c>
      <c r="O311" s="9">
        <v>0</v>
      </c>
      <c r="P311" s="9">
        <v>0.75</v>
      </c>
      <c r="Q311" s="9">
        <v>1</v>
      </c>
      <c r="R311" s="9">
        <v>1</v>
      </c>
      <c r="S311" s="9">
        <v>0.75</v>
      </c>
      <c r="T311" s="9">
        <v>0.75</v>
      </c>
      <c r="U311" s="9">
        <v>1</v>
      </c>
      <c r="V311" s="9">
        <v>1</v>
      </c>
      <c r="W311" s="9">
        <v>1</v>
      </c>
      <c r="X311" s="9">
        <v>0.75</v>
      </c>
      <c r="Y311" s="9">
        <v>0</v>
      </c>
      <c r="Z311" s="9">
        <v>0</v>
      </c>
      <c r="AA311" s="9">
        <v>0</v>
      </c>
      <c r="AB311" s="9">
        <v>0</v>
      </c>
      <c r="AC311" s="9">
        <v>0</v>
      </c>
      <c r="AD311" s="9">
        <v>0</v>
      </c>
    </row>
    <row r="312" spans="1:30" ht="38.25" hidden="1" x14ac:dyDescent="0.2">
      <c r="A312" s="9">
        <v>1271</v>
      </c>
      <c r="B312" s="8" t="s">
        <v>273</v>
      </c>
      <c r="C312" s="8" t="s">
        <v>262</v>
      </c>
      <c r="D312" s="9">
        <v>9.5609589041095927E-2</v>
      </c>
      <c r="E312" s="8" t="s">
        <v>468</v>
      </c>
      <c r="F312" s="8" t="str">
        <f t="shared" si="4"/>
        <v>Wk2</v>
      </c>
      <c r="G312" s="9">
        <v>0</v>
      </c>
      <c r="H312" s="9">
        <v>0</v>
      </c>
      <c r="I312" s="9">
        <v>0</v>
      </c>
      <c r="J312" s="9">
        <v>0</v>
      </c>
      <c r="K312" s="9">
        <v>0</v>
      </c>
      <c r="L312" s="9">
        <v>0</v>
      </c>
      <c r="M312" s="9">
        <v>0</v>
      </c>
      <c r="N312" s="9">
        <v>0</v>
      </c>
      <c r="O312" s="9">
        <v>0</v>
      </c>
      <c r="P312" s="9">
        <v>0.5</v>
      </c>
      <c r="Q312" s="9">
        <v>1</v>
      </c>
      <c r="R312" s="9">
        <v>1</v>
      </c>
      <c r="S312" s="9">
        <v>1</v>
      </c>
      <c r="T312" s="9">
        <v>0.75</v>
      </c>
      <c r="U312" s="9">
        <v>1</v>
      </c>
      <c r="V312" s="9">
        <v>0.75</v>
      </c>
      <c r="W312" s="9">
        <v>0</v>
      </c>
      <c r="X312" s="9">
        <v>0</v>
      </c>
      <c r="Y312" s="9">
        <v>0</v>
      </c>
      <c r="Z312" s="9">
        <v>0</v>
      </c>
      <c r="AA312" s="9">
        <v>0</v>
      </c>
      <c r="AB312" s="9">
        <v>0</v>
      </c>
      <c r="AC312" s="9">
        <v>0</v>
      </c>
      <c r="AD312" s="9">
        <v>0</v>
      </c>
    </row>
    <row r="313" spans="1:30" ht="38.25" hidden="1" x14ac:dyDescent="0.2">
      <c r="A313" s="7">
        <v>1272</v>
      </c>
      <c r="B313" s="8" t="s">
        <v>172</v>
      </c>
      <c r="C313" s="8" t="s">
        <v>262</v>
      </c>
      <c r="D313" s="9">
        <v>0.20166666666666669</v>
      </c>
      <c r="E313" s="8" t="s">
        <v>11</v>
      </c>
      <c r="F313" s="8" t="str">
        <f t="shared" si="4"/>
        <v>Wk1</v>
      </c>
      <c r="G313" s="9">
        <v>0</v>
      </c>
      <c r="H313" s="9">
        <v>0</v>
      </c>
      <c r="I313" s="9">
        <v>0</v>
      </c>
      <c r="J313" s="9">
        <v>0</v>
      </c>
      <c r="K313" s="9">
        <v>0</v>
      </c>
      <c r="L313" s="9">
        <v>0</v>
      </c>
      <c r="M313" s="9">
        <v>0</v>
      </c>
      <c r="N313" s="9">
        <v>0.25</v>
      </c>
      <c r="O313" s="9">
        <v>0.5</v>
      </c>
      <c r="P313" s="9">
        <v>1</v>
      </c>
      <c r="Q313" s="9">
        <v>1</v>
      </c>
      <c r="R313" s="9">
        <v>1</v>
      </c>
      <c r="S313" s="9">
        <v>0.75</v>
      </c>
      <c r="T313" s="9">
        <v>0.75</v>
      </c>
      <c r="U313" s="9">
        <v>1</v>
      </c>
      <c r="V313" s="9">
        <v>1</v>
      </c>
      <c r="W313" s="9">
        <v>1</v>
      </c>
      <c r="X313" s="9">
        <v>0.5</v>
      </c>
      <c r="Y313" s="9">
        <v>0.25</v>
      </c>
      <c r="Z313" s="9">
        <v>0</v>
      </c>
      <c r="AA313" s="9">
        <v>0</v>
      </c>
      <c r="AB313" s="9">
        <v>0</v>
      </c>
      <c r="AC313" s="9">
        <v>0</v>
      </c>
      <c r="AD313" s="9">
        <v>0</v>
      </c>
    </row>
    <row r="314" spans="1:30" ht="38.25" hidden="1" x14ac:dyDescent="0.2">
      <c r="A314" s="9">
        <v>1272</v>
      </c>
      <c r="B314" s="8" t="s">
        <v>172</v>
      </c>
      <c r="C314" s="8" t="s">
        <v>262</v>
      </c>
      <c r="D314" s="9">
        <v>0.20166666666666669</v>
      </c>
      <c r="E314" s="8" t="s">
        <v>469</v>
      </c>
      <c r="F314" s="8" t="str">
        <f t="shared" si="4"/>
        <v>Wk2</v>
      </c>
      <c r="G314" s="9">
        <v>0</v>
      </c>
      <c r="H314" s="9">
        <v>0</v>
      </c>
      <c r="I314" s="9">
        <v>0</v>
      </c>
      <c r="J314" s="9">
        <v>0</v>
      </c>
      <c r="K314" s="9">
        <v>0</v>
      </c>
      <c r="L314" s="9">
        <v>0</v>
      </c>
      <c r="M314" s="9">
        <v>0</v>
      </c>
      <c r="N314" s="9">
        <v>0</v>
      </c>
      <c r="O314" s="9">
        <v>0</v>
      </c>
      <c r="P314" s="9">
        <v>0.5</v>
      </c>
      <c r="Q314" s="9">
        <v>1</v>
      </c>
      <c r="R314" s="9">
        <v>1</v>
      </c>
      <c r="S314" s="9">
        <v>1</v>
      </c>
      <c r="T314" s="9">
        <v>0.75</v>
      </c>
      <c r="U314" s="9">
        <v>1</v>
      </c>
      <c r="V314" s="9">
        <v>0.75</v>
      </c>
      <c r="W314" s="9">
        <v>0</v>
      </c>
      <c r="X314" s="9">
        <v>0</v>
      </c>
      <c r="Y314" s="9">
        <v>0</v>
      </c>
      <c r="Z314" s="9">
        <v>0</v>
      </c>
      <c r="AA314" s="9">
        <v>0</v>
      </c>
      <c r="AB314" s="9">
        <v>0</v>
      </c>
      <c r="AC314" s="9">
        <v>0</v>
      </c>
      <c r="AD314" s="9">
        <v>0</v>
      </c>
    </row>
    <row r="315" spans="1:30" ht="38.25" hidden="1" x14ac:dyDescent="0.2">
      <c r="A315" s="7">
        <v>1273</v>
      </c>
      <c r="B315" s="8" t="s">
        <v>344</v>
      </c>
      <c r="C315" s="8" t="s">
        <v>262</v>
      </c>
      <c r="D315" s="9">
        <v>0.23125000000000001</v>
      </c>
      <c r="E315" s="8" t="s">
        <v>12</v>
      </c>
      <c r="F315" s="8" t="str">
        <f t="shared" si="4"/>
        <v>Wk1</v>
      </c>
      <c r="G315" s="9">
        <v>0</v>
      </c>
      <c r="H315" s="9">
        <v>0</v>
      </c>
      <c r="I315" s="9">
        <v>0</v>
      </c>
      <c r="J315" s="9">
        <v>0</v>
      </c>
      <c r="K315" s="9">
        <v>0</v>
      </c>
      <c r="L315" s="9">
        <v>0</v>
      </c>
      <c r="M315" s="9">
        <v>0</v>
      </c>
      <c r="N315" s="9">
        <v>0</v>
      </c>
      <c r="O315" s="9">
        <v>0</v>
      </c>
      <c r="P315" s="9">
        <v>0.75</v>
      </c>
      <c r="Q315" s="9">
        <v>1</v>
      </c>
      <c r="R315" s="9">
        <v>1</v>
      </c>
      <c r="S315" s="9">
        <v>0.75</v>
      </c>
      <c r="T315" s="9">
        <v>0.75</v>
      </c>
      <c r="U315" s="9">
        <v>1</v>
      </c>
      <c r="V315" s="9">
        <v>1</v>
      </c>
      <c r="W315" s="9">
        <v>1</v>
      </c>
      <c r="X315" s="9">
        <v>0.75</v>
      </c>
      <c r="Y315" s="9">
        <v>0</v>
      </c>
      <c r="Z315" s="9">
        <v>0</v>
      </c>
      <c r="AA315" s="9">
        <v>0</v>
      </c>
      <c r="AB315" s="9">
        <v>0</v>
      </c>
      <c r="AC315" s="9">
        <v>0</v>
      </c>
      <c r="AD315" s="9">
        <v>0</v>
      </c>
    </row>
    <row r="316" spans="1:30" ht="38.25" hidden="1" x14ac:dyDescent="0.2">
      <c r="A316" s="9">
        <v>1273</v>
      </c>
      <c r="B316" s="8" t="s">
        <v>344</v>
      </c>
      <c r="C316" s="8" t="s">
        <v>262</v>
      </c>
      <c r="D316" s="9">
        <v>0.23125000000000001</v>
      </c>
      <c r="E316" s="8" t="s">
        <v>470</v>
      </c>
      <c r="F316" s="8" t="str">
        <f t="shared" si="4"/>
        <v>Wk2</v>
      </c>
      <c r="G316" s="9">
        <v>0</v>
      </c>
      <c r="H316" s="9">
        <v>0</v>
      </c>
      <c r="I316" s="9">
        <v>0</v>
      </c>
      <c r="J316" s="9">
        <v>0</v>
      </c>
      <c r="K316" s="9">
        <v>0</v>
      </c>
      <c r="L316" s="9">
        <v>0</v>
      </c>
      <c r="M316" s="9">
        <v>0</v>
      </c>
      <c r="N316" s="9">
        <v>0</v>
      </c>
      <c r="O316" s="9">
        <v>0</v>
      </c>
      <c r="P316" s="9">
        <v>0</v>
      </c>
      <c r="Q316" s="9">
        <v>0</v>
      </c>
      <c r="R316" s="9">
        <v>0</v>
      </c>
      <c r="S316" s="9">
        <v>0</v>
      </c>
      <c r="T316" s="9">
        <v>0</v>
      </c>
      <c r="U316" s="9">
        <v>0</v>
      </c>
      <c r="V316" s="9">
        <v>0</v>
      </c>
      <c r="W316" s="9">
        <v>0</v>
      </c>
      <c r="X316" s="9">
        <v>0</v>
      </c>
      <c r="Y316" s="9">
        <v>0</v>
      </c>
      <c r="Z316" s="9">
        <v>0</v>
      </c>
      <c r="AA316" s="9">
        <v>0</v>
      </c>
      <c r="AB316" s="9">
        <v>0</v>
      </c>
      <c r="AC316" s="9">
        <v>0</v>
      </c>
      <c r="AD316" s="9">
        <v>0</v>
      </c>
    </row>
    <row r="317" spans="1:30" ht="38.25" hidden="1" x14ac:dyDescent="0.2">
      <c r="A317" s="7">
        <v>1275</v>
      </c>
      <c r="B317" s="8" t="s">
        <v>365</v>
      </c>
      <c r="C317" s="8" t="s">
        <v>262</v>
      </c>
      <c r="D317" s="9">
        <v>0.10625</v>
      </c>
      <c r="E317" s="8" t="s">
        <v>13</v>
      </c>
      <c r="F317" s="8" t="str">
        <f t="shared" si="4"/>
        <v>Wk1</v>
      </c>
      <c r="G317" s="9">
        <v>0</v>
      </c>
      <c r="H317" s="9">
        <v>0</v>
      </c>
      <c r="I317" s="9">
        <v>0</v>
      </c>
      <c r="J317" s="9">
        <v>0</v>
      </c>
      <c r="K317" s="9">
        <v>0</v>
      </c>
      <c r="L317" s="9">
        <v>0</v>
      </c>
      <c r="M317" s="9">
        <v>0</v>
      </c>
      <c r="N317" s="9">
        <v>0.25</v>
      </c>
      <c r="O317" s="9">
        <v>0.5</v>
      </c>
      <c r="P317" s="9">
        <v>1</v>
      </c>
      <c r="Q317" s="9">
        <v>1</v>
      </c>
      <c r="R317" s="9">
        <v>1</v>
      </c>
      <c r="S317" s="9">
        <v>0.75</v>
      </c>
      <c r="T317" s="9">
        <v>0.75</v>
      </c>
      <c r="U317" s="9">
        <v>1</v>
      </c>
      <c r="V317" s="9">
        <v>1</v>
      </c>
      <c r="W317" s="9">
        <v>1</v>
      </c>
      <c r="X317" s="9">
        <v>0.5</v>
      </c>
      <c r="Y317" s="9">
        <v>0.25</v>
      </c>
      <c r="Z317" s="9">
        <v>0</v>
      </c>
      <c r="AA317" s="9">
        <v>0</v>
      </c>
      <c r="AB317" s="9">
        <v>0</v>
      </c>
      <c r="AC317" s="9">
        <v>0</v>
      </c>
      <c r="AD317" s="9">
        <v>0</v>
      </c>
    </row>
    <row r="318" spans="1:30" ht="38.25" hidden="1" x14ac:dyDescent="0.2">
      <c r="A318" s="9">
        <v>1275</v>
      </c>
      <c r="B318" s="8" t="s">
        <v>365</v>
      </c>
      <c r="C318" s="8" t="s">
        <v>262</v>
      </c>
      <c r="D318" s="9">
        <v>0.10625</v>
      </c>
      <c r="E318" s="8" t="s">
        <v>471</v>
      </c>
      <c r="F318" s="8" t="str">
        <f t="shared" si="4"/>
        <v>Wk2</v>
      </c>
      <c r="G318" s="9">
        <v>0</v>
      </c>
      <c r="H318" s="9">
        <v>0</v>
      </c>
      <c r="I318" s="9">
        <v>0</v>
      </c>
      <c r="J318" s="9">
        <v>0</v>
      </c>
      <c r="K318" s="9">
        <v>0</v>
      </c>
      <c r="L318" s="9">
        <v>0</v>
      </c>
      <c r="M318" s="9">
        <v>0</v>
      </c>
      <c r="N318" s="9">
        <v>0</v>
      </c>
      <c r="O318" s="9">
        <v>0</v>
      </c>
      <c r="P318" s="9">
        <v>0.5</v>
      </c>
      <c r="Q318" s="9">
        <v>1</v>
      </c>
      <c r="R318" s="9">
        <v>1</v>
      </c>
      <c r="S318" s="9">
        <v>1</v>
      </c>
      <c r="T318" s="9">
        <v>0.75</v>
      </c>
      <c r="U318" s="9">
        <v>1</v>
      </c>
      <c r="V318" s="9">
        <v>0.75</v>
      </c>
      <c r="W318" s="9">
        <v>0</v>
      </c>
      <c r="X318" s="9">
        <v>0</v>
      </c>
      <c r="Y318" s="9">
        <v>0</v>
      </c>
      <c r="Z318" s="9">
        <v>0</v>
      </c>
      <c r="AA318" s="9">
        <v>0</v>
      </c>
      <c r="AB318" s="9">
        <v>0</v>
      </c>
      <c r="AC318" s="9">
        <v>0</v>
      </c>
      <c r="AD318" s="9">
        <v>0</v>
      </c>
    </row>
    <row r="319" spans="1:30" ht="38.25" hidden="1" x14ac:dyDescent="0.2">
      <c r="A319" s="7">
        <v>1276</v>
      </c>
      <c r="B319" s="8" t="s">
        <v>275</v>
      </c>
      <c r="C319" s="8" t="s">
        <v>262</v>
      </c>
      <c r="D319" s="9">
        <v>0.10521739130434783</v>
      </c>
      <c r="E319" s="8" t="s">
        <v>14</v>
      </c>
      <c r="F319" s="8" t="str">
        <f t="shared" si="4"/>
        <v>Wk1</v>
      </c>
      <c r="G319" s="9">
        <v>0</v>
      </c>
      <c r="H319" s="9">
        <v>0</v>
      </c>
      <c r="I319" s="9">
        <v>0</v>
      </c>
      <c r="J319" s="9">
        <v>0</v>
      </c>
      <c r="K319" s="9">
        <v>0</v>
      </c>
      <c r="L319" s="9">
        <v>0</v>
      </c>
      <c r="M319" s="9">
        <v>0</v>
      </c>
      <c r="N319" s="9">
        <v>0</v>
      </c>
      <c r="O319" s="9">
        <v>0</v>
      </c>
      <c r="P319" s="9">
        <v>0.5</v>
      </c>
      <c r="Q319" s="9">
        <v>1</v>
      </c>
      <c r="R319" s="9">
        <v>1</v>
      </c>
      <c r="S319" s="9">
        <v>1</v>
      </c>
      <c r="T319" s="9">
        <v>0.75</v>
      </c>
      <c r="U319" s="9">
        <v>1</v>
      </c>
      <c r="V319" s="9">
        <v>0.75</v>
      </c>
      <c r="W319" s="9">
        <v>0</v>
      </c>
      <c r="X319" s="9">
        <v>0</v>
      </c>
      <c r="Y319" s="9">
        <v>0</v>
      </c>
      <c r="Z319" s="9">
        <v>0</v>
      </c>
      <c r="AA319" s="9">
        <v>0</v>
      </c>
      <c r="AB319" s="9">
        <v>0</v>
      </c>
      <c r="AC319" s="9">
        <v>0</v>
      </c>
      <c r="AD319" s="9">
        <v>0</v>
      </c>
    </row>
    <row r="320" spans="1:30" ht="38.25" hidden="1" x14ac:dyDescent="0.2">
      <c r="A320" s="7">
        <v>1277</v>
      </c>
      <c r="B320" s="8" t="s">
        <v>423</v>
      </c>
      <c r="C320" s="8" t="s">
        <v>262</v>
      </c>
      <c r="D320" s="9">
        <v>0.11</v>
      </c>
      <c r="E320" s="8" t="s">
        <v>472</v>
      </c>
      <c r="F320" s="8" t="str">
        <f t="shared" si="4"/>
        <v>Wk1</v>
      </c>
      <c r="G320" s="9">
        <v>0</v>
      </c>
      <c r="H320" s="9">
        <v>0</v>
      </c>
      <c r="I320" s="9">
        <v>0</v>
      </c>
      <c r="J320" s="9">
        <v>0</v>
      </c>
      <c r="K320" s="9">
        <v>0</v>
      </c>
      <c r="L320" s="9">
        <v>0</v>
      </c>
      <c r="M320" s="9">
        <v>0</v>
      </c>
      <c r="N320" s="9">
        <v>0</v>
      </c>
      <c r="O320" s="9">
        <v>0</v>
      </c>
      <c r="P320" s="9">
        <v>0</v>
      </c>
      <c r="Q320" s="9">
        <v>0</v>
      </c>
      <c r="R320" s="9">
        <v>0</v>
      </c>
      <c r="S320" s="9">
        <v>0</v>
      </c>
      <c r="T320" s="9">
        <v>0</v>
      </c>
      <c r="U320" s="9">
        <v>0</v>
      </c>
      <c r="V320" s="9">
        <v>0</v>
      </c>
      <c r="W320" s="9">
        <v>0</v>
      </c>
      <c r="X320" s="9">
        <v>0</v>
      </c>
      <c r="Y320" s="9">
        <v>0</v>
      </c>
      <c r="Z320" s="9">
        <v>0</v>
      </c>
      <c r="AA320" s="9">
        <v>0</v>
      </c>
      <c r="AB320" s="9">
        <v>0</v>
      </c>
      <c r="AC320" s="9">
        <v>0</v>
      </c>
      <c r="AD320" s="9">
        <v>0</v>
      </c>
    </row>
    <row r="321" spans="1:30" ht="38.25" hidden="1" x14ac:dyDescent="0.2">
      <c r="A321" s="9">
        <v>1277</v>
      </c>
      <c r="B321" s="8" t="s">
        <v>423</v>
      </c>
      <c r="C321" s="8" t="s">
        <v>262</v>
      </c>
      <c r="D321" s="9">
        <v>0.11</v>
      </c>
      <c r="E321" s="8" t="s">
        <v>473</v>
      </c>
      <c r="F321" s="8" t="str">
        <f t="shared" si="4"/>
        <v>Wk2</v>
      </c>
      <c r="G321" s="9">
        <v>0</v>
      </c>
      <c r="H321" s="9">
        <v>0</v>
      </c>
      <c r="I321" s="9">
        <v>0</v>
      </c>
      <c r="J321" s="9">
        <v>0</v>
      </c>
      <c r="K321" s="9">
        <v>0</v>
      </c>
      <c r="L321" s="9">
        <v>0</v>
      </c>
      <c r="M321" s="9">
        <v>0</v>
      </c>
      <c r="N321" s="9">
        <v>0</v>
      </c>
      <c r="O321" s="9">
        <v>0</v>
      </c>
      <c r="P321" s="9">
        <v>0</v>
      </c>
      <c r="Q321" s="9">
        <v>0</v>
      </c>
      <c r="R321" s="9">
        <v>0</v>
      </c>
      <c r="S321" s="9">
        <v>0</v>
      </c>
      <c r="T321" s="9">
        <v>0</v>
      </c>
      <c r="U321" s="9">
        <v>0</v>
      </c>
      <c r="V321" s="9">
        <v>0</v>
      </c>
      <c r="W321" s="9">
        <v>0</v>
      </c>
      <c r="X321" s="9">
        <v>0</v>
      </c>
      <c r="Y321" s="9">
        <v>0</v>
      </c>
      <c r="Z321" s="9">
        <v>0</v>
      </c>
      <c r="AA321" s="9">
        <v>0</v>
      </c>
      <c r="AB321" s="9">
        <v>0</v>
      </c>
      <c r="AC321" s="9">
        <v>0</v>
      </c>
      <c r="AD321" s="9">
        <v>0</v>
      </c>
    </row>
    <row r="322" spans="1:30" ht="38.25" hidden="1" x14ac:dyDescent="0.2">
      <c r="A322" s="7">
        <v>1278</v>
      </c>
      <c r="B322" s="8" t="s">
        <v>286</v>
      </c>
      <c r="C322" s="8" t="s">
        <v>262</v>
      </c>
      <c r="D322" s="9">
        <v>0.11220000000000002</v>
      </c>
      <c r="E322" s="8" t="s">
        <v>15</v>
      </c>
      <c r="F322" s="8" t="str">
        <f t="shared" si="4"/>
        <v>Wk1</v>
      </c>
      <c r="G322" s="9">
        <v>0</v>
      </c>
      <c r="H322" s="9">
        <v>0</v>
      </c>
      <c r="I322" s="9">
        <v>0</v>
      </c>
      <c r="J322" s="9">
        <v>0</v>
      </c>
      <c r="K322" s="9">
        <v>0</v>
      </c>
      <c r="L322" s="9">
        <v>0</v>
      </c>
      <c r="M322" s="9">
        <v>0</v>
      </c>
      <c r="N322" s="9">
        <v>0</v>
      </c>
      <c r="O322" s="9">
        <v>1</v>
      </c>
      <c r="P322" s="9">
        <v>1</v>
      </c>
      <c r="Q322" s="9">
        <v>1</v>
      </c>
      <c r="R322" s="9">
        <v>1</v>
      </c>
      <c r="S322" s="9">
        <v>1</v>
      </c>
      <c r="T322" s="9">
        <v>1</v>
      </c>
      <c r="U322" s="9">
        <v>1</v>
      </c>
      <c r="V322" s="9">
        <v>1</v>
      </c>
      <c r="W322" s="9">
        <v>1</v>
      </c>
      <c r="X322" s="9">
        <v>1</v>
      </c>
      <c r="Y322" s="9">
        <v>0</v>
      </c>
      <c r="Z322" s="9">
        <v>0</v>
      </c>
      <c r="AA322" s="9">
        <v>0</v>
      </c>
      <c r="AB322" s="9">
        <v>0</v>
      </c>
      <c r="AC322" s="9">
        <v>0</v>
      </c>
      <c r="AD322" s="9">
        <v>0</v>
      </c>
    </row>
    <row r="323" spans="1:30" ht="38.25" hidden="1" x14ac:dyDescent="0.2">
      <c r="A323" s="9">
        <v>1278</v>
      </c>
      <c r="B323" s="8" t="s">
        <v>286</v>
      </c>
      <c r="C323" s="8" t="s">
        <v>262</v>
      </c>
      <c r="D323" s="9">
        <v>0.11220000000000002</v>
      </c>
      <c r="E323" s="8" t="s">
        <v>474</v>
      </c>
      <c r="F323" s="8" t="str">
        <f t="shared" si="4"/>
        <v>Wk2</v>
      </c>
      <c r="G323" s="9">
        <v>0</v>
      </c>
      <c r="H323" s="9">
        <v>0</v>
      </c>
      <c r="I323" s="9">
        <v>0</v>
      </c>
      <c r="J323" s="9">
        <v>0</v>
      </c>
      <c r="K323" s="9">
        <v>0</v>
      </c>
      <c r="L323" s="9">
        <v>0</v>
      </c>
      <c r="M323" s="9">
        <v>0</v>
      </c>
      <c r="N323" s="9">
        <v>0</v>
      </c>
      <c r="O323" s="9">
        <v>0</v>
      </c>
      <c r="P323" s="9">
        <v>0</v>
      </c>
      <c r="Q323" s="9">
        <v>0</v>
      </c>
      <c r="R323" s="9">
        <v>0</v>
      </c>
      <c r="S323" s="9">
        <v>0</v>
      </c>
      <c r="T323" s="9">
        <v>0</v>
      </c>
      <c r="U323" s="9">
        <v>0</v>
      </c>
      <c r="V323" s="9">
        <v>0</v>
      </c>
      <c r="W323" s="9">
        <v>0</v>
      </c>
      <c r="X323" s="9">
        <v>0</v>
      </c>
      <c r="Y323" s="9">
        <v>0</v>
      </c>
      <c r="Z323" s="9">
        <v>0</v>
      </c>
      <c r="AA323" s="9">
        <v>0</v>
      </c>
      <c r="AB323" s="9">
        <v>0</v>
      </c>
      <c r="AC323" s="9">
        <v>0</v>
      </c>
      <c r="AD323" s="9">
        <v>0</v>
      </c>
    </row>
    <row r="324" spans="1:30" ht="38.25" hidden="1" x14ac:dyDescent="0.2">
      <c r="A324" s="7">
        <v>1279</v>
      </c>
      <c r="B324" s="8" t="s">
        <v>418</v>
      </c>
      <c r="C324" s="8" t="s">
        <v>262</v>
      </c>
      <c r="D324" s="9">
        <v>0.10153846153846158</v>
      </c>
      <c r="E324" s="8" t="s">
        <v>475</v>
      </c>
      <c r="F324" s="8" t="str">
        <f t="shared" si="4"/>
        <v>Wk1</v>
      </c>
      <c r="G324" s="9">
        <v>0</v>
      </c>
      <c r="H324" s="9">
        <v>0</v>
      </c>
      <c r="I324" s="9">
        <v>0</v>
      </c>
      <c r="J324" s="9">
        <v>0</v>
      </c>
      <c r="K324" s="9">
        <v>0</v>
      </c>
      <c r="L324" s="9">
        <v>0</v>
      </c>
      <c r="M324" s="9">
        <v>0</v>
      </c>
      <c r="N324" s="9">
        <v>1</v>
      </c>
      <c r="O324" s="9">
        <v>1</v>
      </c>
      <c r="P324" s="9">
        <v>1</v>
      </c>
      <c r="Q324" s="9">
        <v>1</v>
      </c>
      <c r="R324" s="9">
        <v>1</v>
      </c>
      <c r="S324" s="9">
        <v>1</v>
      </c>
      <c r="T324" s="9">
        <v>1</v>
      </c>
      <c r="U324" s="9">
        <v>1</v>
      </c>
      <c r="V324" s="9">
        <v>1</v>
      </c>
      <c r="W324" s="9">
        <v>1</v>
      </c>
      <c r="X324" s="9">
        <v>1</v>
      </c>
      <c r="Y324" s="9">
        <v>1</v>
      </c>
      <c r="Z324" s="9">
        <v>1</v>
      </c>
      <c r="AA324" s="9">
        <v>0</v>
      </c>
      <c r="AB324" s="9">
        <v>0</v>
      </c>
      <c r="AC324" s="9">
        <v>0</v>
      </c>
      <c r="AD324" s="9">
        <v>0</v>
      </c>
    </row>
    <row r="325" spans="1:30" ht="38.25" hidden="1" x14ac:dyDescent="0.2">
      <c r="A325" s="9">
        <v>1279</v>
      </c>
      <c r="B325" s="8" t="s">
        <v>418</v>
      </c>
      <c r="C325" s="8" t="s">
        <v>262</v>
      </c>
      <c r="D325" s="9">
        <v>0.10153846153846158</v>
      </c>
      <c r="E325" s="8" t="s">
        <v>476</v>
      </c>
      <c r="F325" s="8" t="str">
        <f t="shared" si="4"/>
        <v>Wk2</v>
      </c>
      <c r="G325" s="9">
        <v>0</v>
      </c>
      <c r="H325" s="9">
        <v>0</v>
      </c>
      <c r="I325" s="9">
        <v>0</v>
      </c>
      <c r="J325" s="9">
        <v>0</v>
      </c>
      <c r="K325" s="9">
        <v>0</v>
      </c>
      <c r="L325" s="9">
        <v>0</v>
      </c>
      <c r="M325" s="9">
        <v>0</v>
      </c>
      <c r="N325" s="9">
        <v>0</v>
      </c>
      <c r="O325" s="9">
        <v>0</v>
      </c>
      <c r="P325" s="9">
        <v>0</v>
      </c>
      <c r="Q325" s="9">
        <v>0</v>
      </c>
      <c r="R325" s="9">
        <v>0</v>
      </c>
      <c r="S325" s="9">
        <v>0</v>
      </c>
      <c r="T325" s="9">
        <v>0</v>
      </c>
      <c r="U325" s="9">
        <v>0</v>
      </c>
      <c r="V325" s="9">
        <v>0</v>
      </c>
      <c r="W325" s="9">
        <v>0</v>
      </c>
      <c r="X325" s="9">
        <v>0</v>
      </c>
      <c r="Y325" s="9">
        <v>0</v>
      </c>
      <c r="Z325" s="9">
        <v>0</v>
      </c>
      <c r="AA325" s="9">
        <v>0</v>
      </c>
      <c r="AB325" s="9">
        <v>0</v>
      </c>
      <c r="AC325" s="9">
        <v>0</v>
      </c>
      <c r="AD325" s="9">
        <v>0</v>
      </c>
    </row>
    <row r="326" spans="1:30" ht="38.25" hidden="1" x14ac:dyDescent="0.2">
      <c r="A326" s="7">
        <v>1280</v>
      </c>
      <c r="B326" s="8" t="s">
        <v>366</v>
      </c>
      <c r="C326" s="8" t="s">
        <v>262</v>
      </c>
      <c r="D326" s="9">
        <v>0.18066479401449434</v>
      </c>
      <c r="E326" s="8" t="s">
        <v>16</v>
      </c>
      <c r="F326" s="8" t="str">
        <f t="shared" si="4"/>
        <v>Wk1</v>
      </c>
      <c r="G326" s="9">
        <v>0</v>
      </c>
      <c r="H326" s="9">
        <v>0</v>
      </c>
      <c r="I326" s="9">
        <v>0</v>
      </c>
      <c r="J326" s="9">
        <v>0</v>
      </c>
      <c r="K326" s="9">
        <v>0</v>
      </c>
      <c r="L326" s="9">
        <v>0</v>
      </c>
      <c r="M326" s="9">
        <v>0</v>
      </c>
      <c r="N326" s="9">
        <v>0.25</v>
      </c>
      <c r="O326" s="9">
        <v>0.5</v>
      </c>
      <c r="P326" s="9">
        <v>1</v>
      </c>
      <c r="Q326" s="9">
        <v>1</v>
      </c>
      <c r="R326" s="9">
        <v>1</v>
      </c>
      <c r="S326" s="9">
        <v>0.75</v>
      </c>
      <c r="T326" s="9">
        <v>0.75</v>
      </c>
      <c r="U326" s="9">
        <v>1</v>
      </c>
      <c r="V326" s="9">
        <v>1</v>
      </c>
      <c r="W326" s="9">
        <v>1</v>
      </c>
      <c r="X326" s="9">
        <v>0.5</v>
      </c>
      <c r="Y326" s="9">
        <v>0.25</v>
      </c>
      <c r="Z326" s="9">
        <v>0</v>
      </c>
      <c r="AA326" s="9">
        <v>0</v>
      </c>
      <c r="AB326" s="9">
        <v>0</v>
      </c>
      <c r="AC326" s="9">
        <v>0</v>
      </c>
      <c r="AD326" s="9">
        <v>0</v>
      </c>
    </row>
    <row r="327" spans="1:30" ht="38.25" hidden="1" x14ac:dyDescent="0.2">
      <c r="A327" s="9">
        <v>1280</v>
      </c>
      <c r="B327" s="8" t="s">
        <v>366</v>
      </c>
      <c r="C327" s="8" t="s">
        <v>262</v>
      </c>
      <c r="D327" s="9">
        <v>0.18066479401449434</v>
      </c>
      <c r="E327" s="8" t="s">
        <v>477</v>
      </c>
      <c r="F327" s="8" t="str">
        <f t="shared" si="4"/>
        <v>Wk2</v>
      </c>
      <c r="G327" s="9">
        <v>0</v>
      </c>
      <c r="H327" s="9">
        <v>0</v>
      </c>
      <c r="I327" s="9">
        <v>0</v>
      </c>
      <c r="J327" s="9">
        <v>0</v>
      </c>
      <c r="K327" s="9">
        <v>0</v>
      </c>
      <c r="L327" s="9">
        <v>0</v>
      </c>
      <c r="M327" s="9">
        <v>0</v>
      </c>
      <c r="N327" s="9">
        <v>0</v>
      </c>
      <c r="O327" s="9">
        <v>0</v>
      </c>
      <c r="P327" s="9">
        <v>0.75</v>
      </c>
      <c r="Q327" s="9">
        <v>1</v>
      </c>
      <c r="R327" s="9">
        <v>1</v>
      </c>
      <c r="S327" s="9">
        <v>0.75</v>
      </c>
      <c r="T327" s="9">
        <v>0.75</v>
      </c>
      <c r="U327" s="9">
        <v>1</v>
      </c>
      <c r="V327" s="9">
        <v>1</v>
      </c>
      <c r="W327" s="9">
        <v>1</v>
      </c>
      <c r="X327" s="9">
        <v>0.75</v>
      </c>
      <c r="Y327" s="9">
        <v>0</v>
      </c>
      <c r="Z327" s="9">
        <v>0</v>
      </c>
      <c r="AA327" s="9">
        <v>0</v>
      </c>
      <c r="AB327" s="9">
        <v>0</v>
      </c>
      <c r="AC327" s="9">
        <v>0</v>
      </c>
      <c r="AD327" s="9">
        <v>0</v>
      </c>
    </row>
    <row r="328" spans="1:30" ht="38.25" hidden="1" x14ac:dyDescent="0.2">
      <c r="A328" s="7">
        <v>1281</v>
      </c>
      <c r="B328" s="8" t="s">
        <v>17</v>
      </c>
      <c r="C328" s="8" t="s">
        <v>262</v>
      </c>
      <c r="D328" s="9">
        <v>0.11220000000000002</v>
      </c>
      <c r="E328" s="8" t="s">
        <v>18</v>
      </c>
      <c r="F328" s="8" t="str">
        <f t="shared" si="4"/>
        <v>Wk1</v>
      </c>
      <c r="G328" s="9">
        <v>0</v>
      </c>
      <c r="H328" s="9">
        <v>0</v>
      </c>
      <c r="I328" s="9">
        <v>0</v>
      </c>
      <c r="J328" s="9">
        <v>0</v>
      </c>
      <c r="K328" s="9">
        <v>0</v>
      </c>
      <c r="L328" s="9">
        <v>0</v>
      </c>
      <c r="M328" s="9">
        <v>0</v>
      </c>
      <c r="N328" s="9">
        <v>0</v>
      </c>
      <c r="O328" s="9">
        <v>1</v>
      </c>
      <c r="P328" s="9">
        <v>1</v>
      </c>
      <c r="Q328" s="9">
        <v>1</v>
      </c>
      <c r="R328" s="9">
        <v>1</v>
      </c>
      <c r="S328" s="9">
        <v>1</v>
      </c>
      <c r="T328" s="9">
        <v>1</v>
      </c>
      <c r="U328" s="9">
        <v>1</v>
      </c>
      <c r="V328" s="9">
        <v>1</v>
      </c>
      <c r="W328" s="9">
        <v>1</v>
      </c>
      <c r="X328" s="9">
        <v>1</v>
      </c>
      <c r="Y328" s="9">
        <v>0</v>
      </c>
      <c r="Z328" s="9">
        <v>0</v>
      </c>
      <c r="AA328" s="9">
        <v>0</v>
      </c>
      <c r="AB328" s="9">
        <v>0</v>
      </c>
      <c r="AC328" s="9">
        <v>0</v>
      </c>
      <c r="AD328" s="9">
        <v>0</v>
      </c>
    </row>
    <row r="329" spans="1:30" ht="38.25" hidden="1" x14ac:dyDescent="0.2">
      <c r="A329" s="9">
        <v>1281</v>
      </c>
      <c r="B329" s="8" t="s">
        <v>17</v>
      </c>
      <c r="C329" s="8" t="s">
        <v>262</v>
      </c>
      <c r="D329" s="9">
        <v>0.11220000000000002</v>
      </c>
      <c r="E329" s="8" t="s">
        <v>478</v>
      </c>
      <c r="F329" s="8" t="str">
        <f t="shared" si="4"/>
        <v>Wk2</v>
      </c>
      <c r="G329" s="9">
        <v>0</v>
      </c>
      <c r="H329" s="9">
        <v>0</v>
      </c>
      <c r="I329" s="9">
        <v>0</v>
      </c>
      <c r="J329" s="9">
        <v>0</v>
      </c>
      <c r="K329" s="9">
        <v>0</v>
      </c>
      <c r="L329" s="9">
        <v>0</v>
      </c>
      <c r="M329" s="9">
        <v>0</v>
      </c>
      <c r="N329" s="9">
        <v>0</v>
      </c>
      <c r="O329" s="9">
        <v>0</v>
      </c>
      <c r="P329" s="9">
        <v>0</v>
      </c>
      <c r="Q329" s="9">
        <v>0</v>
      </c>
      <c r="R329" s="9">
        <v>0</v>
      </c>
      <c r="S329" s="9">
        <v>0</v>
      </c>
      <c r="T329" s="9">
        <v>0</v>
      </c>
      <c r="U329" s="9">
        <v>0</v>
      </c>
      <c r="V329" s="9">
        <v>0</v>
      </c>
      <c r="W329" s="9">
        <v>0</v>
      </c>
      <c r="X329" s="9">
        <v>0</v>
      </c>
      <c r="Y329" s="9">
        <v>0</v>
      </c>
      <c r="Z329" s="9">
        <v>0</v>
      </c>
      <c r="AA329" s="9">
        <v>0</v>
      </c>
      <c r="AB329" s="9">
        <v>0</v>
      </c>
      <c r="AC329" s="9">
        <v>0</v>
      </c>
      <c r="AD329" s="9">
        <v>0</v>
      </c>
    </row>
    <row r="330" spans="1:30" ht="38.25" hidden="1" x14ac:dyDescent="0.2">
      <c r="A330" s="7">
        <v>1282</v>
      </c>
      <c r="B330" s="8" t="s">
        <v>370</v>
      </c>
      <c r="C330" s="8" t="s">
        <v>262</v>
      </c>
      <c r="D330" s="9">
        <v>0.10647435897435899</v>
      </c>
      <c r="E330" s="8" t="s">
        <v>479</v>
      </c>
      <c r="F330" s="8" t="str">
        <f t="shared" ref="F330:F359" si="5">RIGHT(E330,3)</f>
        <v>Wk1</v>
      </c>
      <c r="G330" s="9">
        <v>0</v>
      </c>
      <c r="H330" s="9">
        <v>0</v>
      </c>
      <c r="I330" s="9">
        <v>0</v>
      </c>
      <c r="J330" s="9">
        <v>0</v>
      </c>
      <c r="K330" s="9">
        <v>0</v>
      </c>
      <c r="L330" s="9">
        <v>0</v>
      </c>
      <c r="M330" s="9">
        <v>0</v>
      </c>
      <c r="N330" s="9">
        <v>0</v>
      </c>
      <c r="O330" s="9">
        <v>1</v>
      </c>
      <c r="P330" s="9">
        <v>1</v>
      </c>
      <c r="Q330" s="9">
        <v>1</v>
      </c>
      <c r="R330" s="9">
        <v>1</v>
      </c>
      <c r="S330" s="9">
        <v>1</v>
      </c>
      <c r="T330" s="9">
        <v>1</v>
      </c>
      <c r="U330" s="9">
        <v>1</v>
      </c>
      <c r="V330" s="9">
        <v>1</v>
      </c>
      <c r="W330" s="9">
        <v>1</v>
      </c>
      <c r="X330" s="9">
        <v>1</v>
      </c>
      <c r="Y330" s="9">
        <v>0</v>
      </c>
      <c r="Z330" s="9">
        <v>0</v>
      </c>
      <c r="AA330" s="9">
        <v>0</v>
      </c>
      <c r="AB330" s="9">
        <v>0</v>
      </c>
      <c r="AC330" s="9">
        <v>0</v>
      </c>
      <c r="AD330" s="9">
        <v>0</v>
      </c>
    </row>
    <row r="331" spans="1:30" ht="38.25" hidden="1" x14ac:dyDescent="0.2">
      <c r="A331" s="9">
        <v>1282</v>
      </c>
      <c r="B331" s="8" t="s">
        <v>370</v>
      </c>
      <c r="C331" s="8" t="s">
        <v>262</v>
      </c>
      <c r="D331" s="9">
        <v>0.10647435897435899</v>
      </c>
      <c r="E331" s="8" t="s">
        <v>480</v>
      </c>
      <c r="F331" s="8" t="str">
        <f t="shared" si="5"/>
        <v>Wk2</v>
      </c>
      <c r="G331" s="9">
        <v>0</v>
      </c>
      <c r="H331" s="9">
        <v>0</v>
      </c>
      <c r="I331" s="9">
        <v>0</v>
      </c>
      <c r="J331" s="9">
        <v>0</v>
      </c>
      <c r="K331" s="9">
        <v>0</v>
      </c>
      <c r="L331" s="9">
        <v>0</v>
      </c>
      <c r="M331" s="9">
        <v>0</v>
      </c>
      <c r="N331" s="9">
        <v>0</v>
      </c>
      <c r="O331" s="9">
        <v>0</v>
      </c>
      <c r="P331" s="9">
        <v>1</v>
      </c>
      <c r="Q331" s="9">
        <v>1</v>
      </c>
      <c r="R331" s="9">
        <v>1</v>
      </c>
      <c r="S331" s="9">
        <v>1</v>
      </c>
      <c r="T331" s="9">
        <v>1</v>
      </c>
      <c r="U331" s="9">
        <v>1</v>
      </c>
      <c r="V331" s="9">
        <v>1</v>
      </c>
      <c r="W331" s="9">
        <v>1</v>
      </c>
      <c r="X331" s="9">
        <v>0</v>
      </c>
      <c r="Y331" s="9">
        <v>0</v>
      </c>
      <c r="Z331" s="9">
        <v>0</v>
      </c>
      <c r="AA331" s="9">
        <v>0</v>
      </c>
      <c r="AB331" s="9">
        <v>0</v>
      </c>
      <c r="AC331" s="9">
        <v>0</v>
      </c>
      <c r="AD331" s="9">
        <v>0</v>
      </c>
    </row>
    <row r="332" spans="1:30" ht="38.25" hidden="1" x14ac:dyDescent="0.2">
      <c r="A332" s="7">
        <v>1283</v>
      </c>
      <c r="B332" s="8" t="s">
        <v>106</v>
      </c>
      <c r="C332" s="8" t="s">
        <v>262</v>
      </c>
      <c r="D332" s="9">
        <v>6.761363636363639E-2</v>
      </c>
      <c r="E332" s="8" t="s">
        <v>19</v>
      </c>
      <c r="F332" s="8" t="str">
        <f t="shared" si="5"/>
        <v>Wk1</v>
      </c>
      <c r="G332" s="9">
        <v>0</v>
      </c>
      <c r="H332" s="9">
        <v>0</v>
      </c>
      <c r="I332" s="9">
        <v>0</v>
      </c>
      <c r="J332" s="9">
        <v>0</v>
      </c>
      <c r="K332" s="9">
        <v>0</v>
      </c>
      <c r="L332" s="9">
        <v>0</v>
      </c>
      <c r="M332" s="9">
        <v>0</v>
      </c>
      <c r="N332" s="9">
        <v>0.25</v>
      </c>
      <c r="O332" s="9">
        <v>0.5</v>
      </c>
      <c r="P332" s="9">
        <v>1</v>
      </c>
      <c r="Q332" s="9">
        <v>1</v>
      </c>
      <c r="R332" s="9">
        <v>1</v>
      </c>
      <c r="S332" s="9">
        <v>0.75</v>
      </c>
      <c r="T332" s="9">
        <v>0.75</v>
      </c>
      <c r="U332" s="9">
        <v>1</v>
      </c>
      <c r="V332" s="9">
        <v>1</v>
      </c>
      <c r="W332" s="9">
        <v>1</v>
      </c>
      <c r="X332" s="9">
        <v>0.5</v>
      </c>
      <c r="Y332" s="9">
        <v>0.25</v>
      </c>
      <c r="Z332" s="9">
        <v>0</v>
      </c>
      <c r="AA332" s="9">
        <v>0</v>
      </c>
      <c r="AB332" s="9">
        <v>0</v>
      </c>
      <c r="AC332" s="9">
        <v>0</v>
      </c>
      <c r="AD332" s="9">
        <v>0</v>
      </c>
    </row>
    <row r="333" spans="1:30" ht="38.25" hidden="1" x14ac:dyDescent="0.2">
      <c r="A333" s="9">
        <v>1283</v>
      </c>
      <c r="B333" s="8" t="s">
        <v>106</v>
      </c>
      <c r="C333" s="8" t="s">
        <v>262</v>
      </c>
      <c r="D333" s="9">
        <v>6.761363636363639E-2</v>
      </c>
      <c r="E333" s="8" t="s">
        <v>481</v>
      </c>
      <c r="F333" s="8" t="str">
        <f t="shared" si="5"/>
        <v>Wk2</v>
      </c>
      <c r="G333" s="9">
        <v>0</v>
      </c>
      <c r="H333" s="9">
        <v>0</v>
      </c>
      <c r="I333" s="9">
        <v>0</v>
      </c>
      <c r="J333" s="9">
        <v>0</v>
      </c>
      <c r="K333" s="9">
        <v>0</v>
      </c>
      <c r="L333" s="9">
        <v>0</v>
      </c>
      <c r="M333" s="9">
        <v>0</v>
      </c>
      <c r="N333" s="9">
        <v>0</v>
      </c>
      <c r="O333" s="9">
        <v>0</v>
      </c>
      <c r="P333" s="9">
        <v>0.5</v>
      </c>
      <c r="Q333" s="9">
        <v>1</v>
      </c>
      <c r="R333" s="9">
        <v>1</v>
      </c>
      <c r="S333" s="9">
        <v>1</v>
      </c>
      <c r="T333" s="9">
        <v>0.75</v>
      </c>
      <c r="U333" s="9">
        <v>1</v>
      </c>
      <c r="V333" s="9">
        <v>0.75</v>
      </c>
      <c r="W333" s="9">
        <v>0</v>
      </c>
      <c r="X333" s="9">
        <v>0</v>
      </c>
      <c r="Y333" s="9">
        <v>0</v>
      </c>
      <c r="Z333" s="9">
        <v>0</v>
      </c>
      <c r="AA333" s="9">
        <v>0</v>
      </c>
      <c r="AB333" s="9">
        <v>0</v>
      </c>
      <c r="AC333" s="9">
        <v>0</v>
      </c>
      <c r="AD333" s="9">
        <v>0</v>
      </c>
    </row>
    <row r="334" spans="1:30" ht="38.25" hidden="1" x14ac:dyDescent="0.2">
      <c r="A334" s="7">
        <v>1284</v>
      </c>
      <c r="B334" s="8" t="s">
        <v>247</v>
      </c>
      <c r="C334" s="8" t="s">
        <v>262</v>
      </c>
      <c r="D334" s="9">
        <v>9.7886986301369883E-2</v>
      </c>
      <c r="E334" s="8" t="s">
        <v>20</v>
      </c>
      <c r="F334" s="8" t="str">
        <f t="shared" si="5"/>
        <v>Wk1</v>
      </c>
      <c r="G334" s="9">
        <v>0</v>
      </c>
      <c r="H334" s="9">
        <v>0</v>
      </c>
      <c r="I334" s="9">
        <v>0</v>
      </c>
      <c r="J334" s="9">
        <v>0</v>
      </c>
      <c r="K334" s="9">
        <v>0</v>
      </c>
      <c r="L334" s="9">
        <v>0</v>
      </c>
      <c r="M334" s="9">
        <v>0</v>
      </c>
      <c r="N334" s="9">
        <v>0.25</v>
      </c>
      <c r="O334" s="9">
        <v>0.5</v>
      </c>
      <c r="P334" s="9">
        <v>1</v>
      </c>
      <c r="Q334" s="9">
        <v>1</v>
      </c>
      <c r="R334" s="9">
        <v>1</v>
      </c>
      <c r="S334" s="9">
        <v>0.75</v>
      </c>
      <c r="T334" s="9">
        <v>0.75</v>
      </c>
      <c r="U334" s="9">
        <v>1</v>
      </c>
      <c r="V334" s="9">
        <v>1</v>
      </c>
      <c r="W334" s="9">
        <v>1</v>
      </c>
      <c r="X334" s="9">
        <v>0.5</v>
      </c>
      <c r="Y334" s="9">
        <v>0.25</v>
      </c>
      <c r="Z334" s="9">
        <v>0</v>
      </c>
      <c r="AA334" s="9">
        <v>0</v>
      </c>
      <c r="AB334" s="9">
        <v>0</v>
      </c>
      <c r="AC334" s="9">
        <v>0</v>
      </c>
      <c r="AD334" s="9">
        <v>0</v>
      </c>
    </row>
    <row r="335" spans="1:30" ht="38.25" hidden="1" x14ac:dyDescent="0.2">
      <c r="A335" s="9">
        <v>1284</v>
      </c>
      <c r="B335" s="8" t="s">
        <v>247</v>
      </c>
      <c r="C335" s="8" t="s">
        <v>262</v>
      </c>
      <c r="D335" s="9">
        <v>9.7886986301369883E-2</v>
      </c>
      <c r="E335" s="8" t="s">
        <v>482</v>
      </c>
      <c r="F335" s="8" t="str">
        <f t="shared" si="5"/>
        <v>Wk2</v>
      </c>
      <c r="G335" s="9">
        <v>0</v>
      </c>
      <c r="H335" s="9">
        <v>0</v>
      </c>
      <c r="I335" s="9">
        <v>0</v>
      </c>
      <c r="J335" s="9">
        <v>0</v>
      </c>
      <c r="K335" s="9">
        <v>0</v>
      </c>
      <c r="L335" s="9">
        <v>0</v>
      </c>
      <c r="M335" s="9">
        <v>0</v>
      </c>
      <c r="N335" s="9">
        <v>0</v>
      </c>
      <c r="O335" s="9">
        <v>0</v>
      </c>
      <c r="P335" s="9">
        <v>1</v>
      </c>
      <c r="Q335" s="9">
        <v>1</v>
      </c>
      <c r="R335" s="9">
        <v>1</v>
      </c>
      <c r="S335" s="9">
        <v>1</v>
      </c>
      <c r="T335" s="9">
        <v>1</v>
      </c>
      <c r="U335" s="9">
        <v>1</v>
      </c>
      <c r="V335" s="9">
        <v>1</v>
      </c>
      <c r="W335" s="9">
        <v>1</v>
      </c>
      <c r="X335" s="9">
        <v>0</v>
      </c>
      <c r="Y335" s="9">
        <v>0</v>
      </c>
      <c r="Z335" s="9">
        <v>0</v>
      </c>
      <c r="AA335" s="9">
        <v>0</v>
      </c>
      <c r="AB335" s="9">
        <v>0</v>
      </c>
      <c r="AC335" s="9">
        <v>0</v>
      </c>
      <c r="AD335" s="9">
        <v>0</v>
      </c>
    </row>
    <row r="336" spans="1:30" ht="38.25" hidden="1" x14ac:dyDescent="0.2">
      <c r="A336" s="7">
        <v>1285</v>
      </c>
      <c r="B336" s="8" t="s">
        <v>809</v>
      </c>
      <c r="C336" s="8" t="s">
        <v>132</v>
      </c>
      <c r="D336" s="9">
        <v>5.3124999999999999E-2</v>
      </c>
      <c r="E336" s="8" t="s">
        <v>220</v>
      </c>
      <c r="F336" s="8" t="str">
        <f t="shared" si="5"/>
        <v>Wk1</v>
      </c>
      <c r="G336" s="9">
        <v>0</v>
      </c>
      <c r="H336" s="9">
        <v>0</v>
      </c>
      <c r="I336" s="9">
        <v>0</v>
      </c>
      <c r="J336" s="9">
        <v>0</v>
      </c>
      <c r="K336" s="9">
        <v>0</v>
      </c>
      <c r="L336" s="9">
        <v>0</v>
      </c>
      <c r="M336" s="9">
        <v>0</v>
      </c>
      <c r="N336" s="9">
        <v>0</v>
      </c>
      <c r="O336" s="9">
        <v>0</v>
      </c>
      <c r="P336" s="9">
        <v>0.75</v>
      </c>
      <c r="Q336" s="9">
        <v>1</v>
      </c>
      <c r="R336" s="9">
        <v>1</v>
      </c>
      <c r="S336" s="9">
        <v>0.75</v>
      </c>
      <c r="T336" s="9">
        <v>0.75</v>
      </c>
      <c r="U336" s="9">
        <v>1</v>
      </c>
      <c r="V336" s="9">
        <v>1</v>
      </c>
      <c r="W336" s="9">
        <v>1</v>
      </c>
      <c r="X336" s="9">
        <v>0.75</v>
      </c>
      <c r="Y336" s="9">
        <v>0</v>
      </c>
      <c r="Z336" s="9">
        <v>0</v>
      </c>
      <c r="AA336" s="9">
        <v>0</v>
      </c>
      <c r="AB336" s="9">
        <v>0</v>
      </c>
      <c r="AC336" s="9">
        <v>0</v>
      </c>
      <c r="AD336" s="9">
        <v>0</v>
      </c>
    </row>
    <row r="337" spans="1:30" ht="38.25" hidden="1" x14ac:dyDescent="0.2">
      <c r="A337" s="7">
        <v>1286</v>
      </c>
      <c r="B337" s="8" t="s">
        <v>810</v>
      </c>
      <c r="C337" s="8" t="s">
        <v>132</v>
      </c>
      <c r="D337" s="9">
        <v>5.3124999999999999E-2</v>
      </c>
      <c r="E337" s="8" t="s">
        <v>445</v>
      </c>
      <c r="F337" s="8" t="str">
        <f t="shared" si="5"/>
        <v>Wk1</v>
      </c>
      <c r="G337" s="9">
        <v>0</v>
      </c>
      <c r="H337" s="9">
        <v>0</v>
      </c>
      <c r="I337" s="9">
        <v>0</v>
      </c>
      <c r="J337" s="9">
        <v>0</v>
      </c>
      <c r="K337" s="9">
        <v>0</v>
      </c>
      <c r="L337" s="9">
        <v>0</v>
      </c>
      <c r="M337" s="9">
        <v>0</v>
      </c>
      <c r="N337" s="9">
        <v>0</v>
      </c>
      <c r="O337" s="9">
        <v>0</v>
      </c>
      <c r="P337" s="9">
        <v>0.75</v>
      </c>
      <c r="Q337" s="9">
        <v>1</v>
      </c>
      <c r="R337" s="9">
        <v>1</v>
      </c>
      <c r="S337" s="9">
        <v>0.75</v>
      </c>
      <c r="T337" s="9">
        <v>0.75</v>
      </c>
      <c r="U337" s="9">
        <v>1</v>
      </c>
      <c r="V337" s="9">
        <v>1</v>
      </c>
      <c r="W337" s="9">
        <v>1</v>
      </c>
      <c r="X337" s="9">
        <v>0.75</v>
      </c>
      <c r="Y337" s="9">
        <v>0</v>
      </c>
      <c r="Z337" s="9">
        <v>0</v>
      </c>
      <c r="AA337" s="9">
        <v>0</v>
      </c>
      <c r="AB337" s="9">
        <v>0</v>
      </c>
      <c r="AC337" s="9">
        <v>0</v>
      </c>
      <c r="AD337" s="9">
        <v>0</v>
      </c>
    </row>
    <row r="338" spans="1:30" ht="51" hidden="1" x14ac:dyDescent="0.2">
      <c r="A338" s="7">
        <v>1287</v>
      </c>
      <c r="B338" s="8" t="s">
        <v>174</v>
      </c>
      <c r="C338" s="8" t="s">
        <v>132</v>
      </c>
      <c r="D338" s="9">
        <v>5.3124999999999999E-2</v>
      </c>
      <c r="E338" s="8" t="s">
        <v>446</v>
      </c>
      <c r="F338" s="8" t="str">
        <f t="shared" si="5"/>
        <v>Wk1</v>
      </c>
      <c r="G338" s="9">
        <v>0</v>
      </c>
      <c r="H338" s="9">
        <v>0</v>
      </c>
      <c r="I338" s="9">
        <v>0</v>
      </c>
      <c r="J338" s="9">
        <v>0</v>
      </c>
      <c r="K338" s="9">
        <v>0</v>
      </c>
      <c r="L338" s="9">
        <v>0</v>
      </c>
      <c r="M338" s="9">
        <v>0</v>
      </c>
      <c r="N338" s="9">
        <v>0</v>
      </c>
      <c r="O338" s="9">
        <v>0</v>
      </c>
      <c r="P338" s="9">
        <v>0.75</v>
      </c>
      <c r="Q338" s="9">
        <v>1</v>
      </c>
      <c r="R338" s="9">
        <v>1</v>
      </c>
      <c r="S338" s="9">
        <v>0.75</v>
      </c>
      <c r="T338" s="9">
        <v>0.75</v>
      </c>
      <c r="U338" s="9">
        <v>1</v>
      </c>
      <c r="V338" s="9">
        <v>1</v>
      </c>
      <c r="W338" s="9">
        <v>1</v>
      </c>
      <c r="X338" s="9">
        <v>0.75</v>
      </c>
      <c r="Y338" s="9">
        <v>0</v>
      </c>
      <c r="Z338" s="9">
        <v>0</v>
      </c>
      <c r="AA338" s="9">
        <v>0</v>
      </c>
      <c r="AB338" s="9">
        <v>0</v>
      </c>
      <c r="AC338" s="9">
        <v>0</v>
      </c>
      <c r="AD338" s="9">
        <v>0</v>
      </c>
    </row>
    <row r="339" spans="1:30" ht="38.25" hidden="1" x14ac:dyDescent="0.2">
      <c r="A339" s="7">
        <v>1288</v>
      </c>
      <c r="B339" s="8" t="s">
        <v>459</v>
      </c>
      <c r="C339" s="8" t="s">
        <v>135</v>
      </c>
      <c r="D339" s="9">
        <v>0.2589473684210527</v>
      </c>
      <c r="E339" s="8" t="s">
        <v>483</v>
      </c>
      <c r="F339" s="8" t="str">
        <f t="shared" si="5"/>
        <v>WK1</v>
      </c>
      <c r="G339" s="9">
        <v>0</v>
      </c>
      <c r="H339" s="9">
        <v>0</v>
      </c>
      <c r="I339" s="9">
        <v>0</v>
      </c>
      <c r="J339" s="9">
        <v>0</v>
      </c>
      <c r="K339" s="9">
        <v>0</v>
      </c>
      <c r="L339" s="9">
        <v>0</v>
      </c>
      <c r="M339" s="9">
        <v>0</v>
      </c>
      <c r="N339" s="9">
        <v>1</v>
      </c>
      <c r="O339" s="9">
        <v>1</v>
      </c>
      <c r="P339" s="9">
        <v>1</v>
      </c>
      <c r="Q339" s="9">
        <v>0</v>
      </c>
      <c r="R339" s="9">
        <v>0</v>
      </c>
      <c r="S339" s="9">
        <v>0</v>
      </c>
      <c r="T339" s="9">
        <v>0</v>
      </c>
      <c r="U339" s="9">
        <v>0</v>
      </c>
      <c r="V339" s="9">
        <v>0</v>
      </c>
      <c r="W339" s="9">
        <v>0</v>
      </c>
      <c r="X339" s="9">
        <v>0</v>
      </c>
      <c r="Y339" s="9">
        <v>0</v>
      </c>
      <c r="Z339" s="9">
        <v>0.2</v>
      </c>
      <c r="AA339" s="9">
        <v>0.2</v>
      </c>
      <c r="AB339" s="9">
        <v>0.2</v>
      </c>
      <c r="AC339" s="9">
        <v>0.2</v>
      </c>
      <c r="AD339" s="9">
        <v>0</v>
      </c>
    </row>
    <row r="340" spans="1:30" ht="51" hidden="1" x14ac:dyDescent="0.2">
      <c r="A340" s="7">
        <v>1289</v>
      </c>
      <c r="B340" s="8" t="s">
        <v>375</v>
      </c>
      <c r="C340" s="8" t="s">
        <v>227</v>
      </c>
      <c r="D340" s="9">
        <v>0.21249999999999999</v>
      </c>
      <c r="E340" s="8" t="s">
        <v>484</v>
      </c>
      <c r="F340" s="8" t="str">
        <f t="shared" si="5"/>
        <v>Wk1</v>
      </c>
      <c r="G340" s="9">
        <v>0</v>
      </c>
      <c r="H340" s="9">
        <v>0</v>
      </c>
      <c r="I340" s="9">
        <v>0</v>
      </c>
      <c r="J340" s="9">
        <v>0</v>
      </c>
      <c r="K340" s="9">
        <v>0</v>
      </c>
      <c r="L340" s="9">
        <v>0</v>
      </c>
      <c r="M340" s="9">
        <v>0</v>
      </c>
      <c r="N340" s="9">
        <v>0</v>
      </c>
      <c r="O340" s="9">
        <v>0</v>
      </c>
      <c r="P340" s="9">
        <v>0.75</v>
      </c>
      <c r="Q340" s="9">
        <v>1</v>
      </c>
      <c r="R340" s="9">
        <v>1</v>
      </c>
      <c r="S340" s="9">
        <v>0.75</v>
      </c>
      <c r="T340" s="9">
        <v>0.75</v>
      </c>
      <c r="U340" s="9">
        <v>1</v>
      </c>
      <c r="V340" s="9">
        <v>1</v>
      </c>
      <c r="W340" s="9">
        <v>1</v>
      </c>
      <c r="X340" s="9">
        <v>0.75</v>
      </c>
      <c r="Y340" s="9">
        <v>0</v>
      </c>
      <c r="Z340" s="9">
        <v>0</v>
      </c>
      <c r="AA340" s="9">
        <v>0</v>
      </c>
      <c r="AB340" s="9">
        <v>0</v>
      </c>
      <c r="AC340" s="9">
        <v>0</v>
      </c>
      <c r="AD340" s="9">
        <v>0</v>
      </c>
    </row>
    <row r="341" spans="1:30" ht="51" hidden="1" x14ac:dyDescent="0.2">
      <c r="A341" s="7">
        <v>1290</v>
      </c>
      <c r="B341" s="8" t="s">
        <v>420</v>
      </c>
      <c r="C341" s="8" t="s">
        <v>21</v>
      </c>
      <c r="D341" s="9">
        <v>5.856666666666667E-2</v>
      </c>
      <c r="E341" s="8" t="s">
        <v>485</v>
      </c>
      <c r="F341" s="8" t="str">
        <f t="shared" si="5"/>
        <v>WK1</v>
      </c>
      <c r="G341" s="9">
        <v>1.8782014999999999E-2</v>
      </c>
      <c r="H341" s="9">
        <v>1.8782014999999999E-2</v>
      </c>
      <c r="I341" s="9">
        <v>1.8782014999999999E-2</v>
      </c>
      <c r="J341" s="9">
        <v>1.8782014999999999E-2</v>
      </c>
      <c r="K341" s="9">
        <v>1.8782014999999999E-2</v>
      </c>
      <c r="L341" s="9">
        <v>1.8782014999999999E-2</v>
      </c>
      <c r="M341" s="9">
        <v>0.26408651100000002</v>
      </c>
      <c r="N341" s="9">
        <v>1</v>
      </c>
      <c r="O341" s="9">
        <v>1</v>
      </c>
      <c r="P341" s="9">
        <v>0.26408651100000002</v>
      </c>
      <c r="Q341" s="9">
        <v>1.8782014999999999E-2</v>
      </c>
      <c r="R341" s="9">
        <v>0.26408651100000002</v>
      </c>
      <c r="S341" s="9">
        <v>1</v>
      </c>
      <c r="T341" s="9">
        <v>1</v>
      </c>
      <c r="U341" s="9">
        <v>0.50939100699999995</v>
      </c>
      <c r="V341" s="9">
        <v>1.8782014999999999E-2</v>
      </c>
      <c r="W341" s="9">
        <v>1.8782014999999999E-2</v>
      </c>
      <c r="X341" s="9">
        <v>0.50939100699999995</v>
      </c>
      <c r="Y341" s="9">
        <v>1</v>
      </c>
      <c r="Z341" s="9">
        <v>1</v>
      </c>
      <c r="AA341" s="9">
        <v>0.50939100699999995</v>
      </c>
      <c r="AB341" s="9">
        <v>1.8782014999999999E-2</v>
      </c>
      <c r="AC341" s="9">
        <v>1.8782014999999999E-2</v>
      </c>
      <c r="AD341" s="9">
        <v>1.8782014999999999E-2</v>
      </c>
    </row>
    <row r="342" spans="1:30" ht="38.25" hidden="1" x14ac:dyDescent="0.2">
      <c r="A342" s="7">
        <v>1291</v>
      </c>
      <c r="B342" s="8" t="s">
        <v>423</v>
      </c>
      <c r="C342" s="8" t="s">
        <v>21</v>
      </c>
      <c r="D342" s="9">
        <v>0.11</v>
      </c>
      <c r="E342" s="8" t="s">
        <v>486</v>
      </c>
      <c r="F342" s="8" t="str">
        <f t="shared" si="5"/>
        <v>WK1</v>
      </c>
      <c r="G342" s="9">
        <v>0</v>
      </c>
      <c r="H342" s="9">
        <v>0</v>
      </c>
      <c r="I342" s="9">
        <v>0</v>
      </c>
      <c r="J342" s="9">
        <v>0</v>
      </c>
      <c r="K342" s="9">
        <v>0</v>
      </c>
      <c r="L342" s="9">
        <v>0</v>
      </c>
      <c r="M342" s="9">
        <v>0</v>
      </c>
      <c r="N342" s="9">
        <v>0</v>
      </c>
      <c r="O342" s="9">
        <v>0</v>
      </c>
      <c r="P342" s="9">
        <v>0</v>
      </c>
      <c r="Q342" s="9">
        <v>0</v>
      </c>
      <c r="R342" s="9">
        <v>0</v>
      </c>
      <c r="S342" s="9">
        <v>0</v>
      </c>
      <c r="T342" s="9">
        <v>0</v>
      </c>
      <c r="U342" s="9">
        <v>0</v>
      </c>
      <c r="V342" s="9">
        <v>0</v>
      </c>
      <c r="W342" s="9">
        <v>0</v>
      </c>
      <c r="X342" s="9">
        <v>0</v>
      </c>
      <c r="Y342" s="9">
        <v>0</v>
      </c>
      <c r="Z342" s="9">
        <v>0</v>
      </c>
      <c r="AA342" s="9">
        <v>0</v>
      </c>
      <c r="AB342" s="9">
        <v>0</v>
      </c>
      <c r="AC342" s="9">
        <v>0</v>
      </c>
      <c r="AD342" s="9">
        <v>0</v>
      </c>
    </row>
    <row r="343" spans="1:30" ht="38.25" hidden="1" x14ac:dyDescent="0.2">
      <c r="A343" s="7">
        <v>1292</v>
      </c>
      <c r="B343" s="8" t="s">
        <v>370</v>
      </c>
      <c r="C343" s="8" t="s">
        <v>21</v>
      </c>
      <c r="D343" s="9">
        <v>6.0500000000000026E-2</v>
      </c>
      <c r="E343" s="8" t="s">
        <v>487</v>
      </c>
      <c r="F343" s="8" t="str">
        <f t="shared" si="5"/>
        <v>WK1</v>
      </c>
      <c r="G343" s="9">
        <v>0</v>
      </c>
      <c r="H343" s="9">
        <v>0</v>
      </c>
      <c r="I343" s="9">
        <v>0</v>
      </c>
      <c r="J343" s="9">
        <v>0</v>
      </c>
      <c r="K343" s="9">
        <v>0</v>
      </c>
      <c r="L343" s="9">
        <v>0</v>
      </c>
      <c r="M343" s="9">
        <v>0</v>
      </c>
      <c r="N343" s="9">
        <v>0</v>
      </c>
      <c r="O343" s="9">
        <v>1</v>
      </c>
      <c r="P343" s="9">
        <v>1</v>
      </c>
      <c r="Q343" s="9">
        <v>1</v>
      </c>
      <c r="R343" s="9">
        <v>1</v>
      </c>
      <c r="S343" s="9">
        <v>1</v>
      </c>
      <c r="T343" s="9">
        <v>1</v>
      </c>
      <c r="U343" s="9">
        <v>1</v>
      </c>
      <c r="V343" s="9">
        <v>1</v>
      </c>
      <c r="W343" s="9">
        <v>1</v>
      </c>
      <c r="X343" s="9">
        <v>1</v>
      </c>
      <c r="Y343" s="9">
        <v>0</v>
      </c>
      <c r="Z343" s="9">
        <v>0</v>
      </c>
      <c r="AA343" s="9">
        <v>0</v>
      </c>
      <c r="AB343" s="9">
        <v>0</v>
      </c>
      <c r="AC343" s="9">
        <v>0</v>
      </c>
      <c r="AD343" s="9">
        <v>0</v>
      </c>
    </row>
    <row r="344" spans="1:30" ht="51" hidden="1" x14ac:dyDescent="0.2">
      <c r="A344" s="7">
        <v>1293</v>
      </c>
      <c r="B344" s="8" t="s">
        <v>488</v>
      </c>
      <c r="C344" s="8" t="s">
        <v>21</v>
      </c>
      <c r="D344" s="9">
        <v>5.3242424242424258E-3</v>
      </c>
      <c r="E344" s="8" t="s">
        <v>489</v>
      </c>
      <c r="F344" s="8" t="str">
        <f t="shared" si="5"/>
        <v>WK1</v>
      </c>
      <c r="G344" s="9">
        <v>1.8782014999999999E-2</v>
      </c>
      <c r="H344" s="9">
        <v>1.8782014999999999E-2</v>
      </c>
      <c r="I344" s="9">
        <v>1.8782014999999999E-2</v>
      </c>
      <c r="J344" s="9">
        <v>1.8782014999999999E-2</v>
      </c>
      <c r="K344" s="9">
        <v>1.8782014999999999E-2</v>
      </c>
      <c r="L344" s="9">
        <v>1.8782014999999999E-2</v>
      </c>
      <c r="M344" s="9">
        <v>0.26408651100000002</v>
      </c>
      <c r="N344" s="9">
        <v>1</v>
      </c>
      <c r="O344" s="9">
        <v>1</v>
      </c>
      <c r="P344" s="9">
        <v>0.26408651100000002</v>
      </c>
      <c r="Q344" s="9">
        <v>1.8782014999999999E-2</v>
      </c>
      <c r="R344" s="9">
        <v>0.26408651100000002</v>
      </c>
      <c r="S344" s="9">
        <v>1</v>
      </c>
      <c r="T344" s="9">
        <v>1</v>
      </c>
      <c r="U344" s="9">
        <v>0.50939100699999995</v>
      </c>
      <c r="V344" s="9">
        <v>1.8782014999999999E-2</v>
      </c>
      <c r="W344" s="9">
        <v>1.8782014999999999E-2</v>
      </c>
      <c r="X344" s="9">
        <v>0.50939100699999995</v>
      </c>
      <c r="Y344" s="9">
        <v>1</v>
      </c>
      <c r="Z344" s="9">
        <v>1</v>
      </c>
      <c r="AA344" s="9">
        <v>0.50939100699999995</v>
      </c>
      <c r="AB344" s="9">
        <v>1.8782014999999999E-2</v>
      </c>
      <c r="AC344" s="9">
        <v>1.8782014999999999E-2</v>
      </c>
      <c r="AD344" s="9">
        <v>1.8782014999999999E-2</v>
      </c>
    </row>
    <row r="345" spans="1:30" ht="38.25" hidden="1" x14ac:dyDescent="0.2">
      <c r="A345" s="7">
        <v>1294</v>
      </c>
      <c r="B345" s="8" t="s">
        <v>425</v>
      </c>
      <c r="C345" s="8" t="s">
        <v>21</v>
      </c>
      <c r="D345" s="9">
        <v>0.111</v>
      </c>
      <c r="E345" s="8" t="s">
        <v>22</v>
      </c>
      <c r="F345" s="8" t="str">
        <f t="shared" si="5"/>
        <v>WK1</v>
      </c>
      <c r="G345" s="9">
        <v>1</v>
      </c>
      <c r="H345" s="9">
        <v>1</v>
      </c>
      <c r="I345" s="9">
        <v>1</v>
      </c>
      <c r="J345" s="9">
        <v>1</v>
      </c>
      <c r="K345" s="9">
        <v>1</v>
      </c>
      <c r="L345" s="9">
        <v>1</v>
      </c>
      <c r="M345" s="9">
        <v>1</v>
      </c>
      <c r="N345" s="9">
        <v>1</v>
      </c>
      <c r="O345" s="9">
        <v>1</v>
      </c>
      <c r="P345" s="9">
        <v>1</v>
      </c>
      <c r="Q345" s="9">
        <v>1</v>
      </c>
      <c r="R345" s="9">
        <v>1</v>
      </c>
      <c r="S345" s="9">
        <v>1</v>
      </c>
      <c r="T345" s="9">
        <v>1</v>
      </c>
      <c r="U345" s="9">
        <v>1</v>
      </c>
      <c r="V345" s="9">
        <v>1</v>
      </c>
      <c r="W345" s="9">
        <v>1</v>
      </c>
      <c r="X345" s="9">
        <v>1</v>
      </c>
      <c r="Y345" s="9">
        <v>1</v>
      </c>
      <c r="Z345" s="9">
        <v>1</v>
      </c>
      <c r="AA345" s="9">
        <v>1</v>
      </c>
      <c r="AB345" s="9">
        <v>1</v>
      </c>
      <c r="AC345" s="9">
        <v>1</v>
      </c>
      <c r="AD345" s="9">
        <v>1</v>
      </c>
    </row>
    <row r="346" spans="1:30" ht="38.25" hidden="1" x14ac:dyDescent="0.2">
      <c r="A346" s="7">
        <v>1295</v>
      </c>
      <c r="B346" s="8" t="s">
        <v>488</v>
      </c>
      <c r="C346" s="8" t="s">
        <v>132</v>
      </c>
      <c r="D346" s="9">
        <v>4.299465240641712E-3</v>
      </c>
      <c r="E346" s="8" t="s">
        <v>490</v>
      </c>
      <c r="F346" s="8" t="str">
        <f t="shared" si="5"/>
        <v>WK1</v>
      </c>
      <c r="G346" s="9">
        <v>0</v>
      </c>
      <c r="H346" s="9">
        <v>0</v>
      </c>
      <c r="I346" s="9">
        <v>0</v>
      </c>
      <c r="J346" s="9">
        <v>0</v>
      </c>
      <c r="K346" s="9">
        <v>0</v>
      </c>
      <c r="L346" s="9">
        <v>0</v>
      </c>
      <c r="M346" s="9">
        <v>0</v>
      </c>
      <c r="N346" s="9">
        <v>0.25</v>
      </c>
      <c r="O346" s="9">
        <v>0.5</v>
      </c>
      <c r="P346" s="9">
        <v>1</v>
      </c>
      <c r="Q346" s="9">
        <v>1</v>
      </c>
      <c r="R346" s="9">
        <v>1</v>
      </c>
      <c r="S346" s="9">
        <v>0.75</v>
      </c>
      <c r="T346" s="9">
        <v>0.75</v>
      </c>
      <c r="U346" s="9">
        <v>1</v>
      </c>
      <c r="V346" s="9">
        <v>1</v>
      </c>
      <c r="W346" s="9">
        <v>1</v>
      </c>
      <c r="X346" s="9">
        <v>0.5</v>
      </c>
      <c r="Y346" s="9">
        <v>0.25</v>
      </c>
      <c r="Z346" s="9">
        <v>0</v>
      </c>
      <c r="AA346" s="9">
        <v>0</v>
      </c>
      <c r="AB346" s="9">
        <v>0</v>
      </c>
      <c r="AC346" s="9">
        <v>0</v>
      </c>
      <c r="AD346" s="9">
        <v>0</v>
      </c>
    </row>
    <row r="347" spans="1:30" ht="38.25" hidden="1" x14ac:dyDescent="0.2">
      <c r="A347" s="7">
        <v>1296</v>
      </c>
      <c r="B347" s="8" t="s">
        <v>488</v>
      </c>
      <c r="C347" s="8" t="s">
        <v>123</v>
      </c>
      <c r="D347" s="9">
        <v>5.8947368421052634E-3</v>
      </c>
      <c r="E347" s="8" t="s">
        <v>491</v>
      </c>
      <c r="F347" s="8" t="str">
        <f t="shared" si="5"/>
        <v>WK1</v>
      </c>
      <c r="G347" s="9">
        <v>0</v>
      </c>
      <c r="H347" s="9">
        <v>0</v>
      </c>
      <c r="I347" s="9">
        <v>0</v>
      </c>
      <c r="J347" s="9">
        <v>0</v>
      </c>
      <c r="K347" s="9">
        <v>0</v>
      </c>
      <c r="L347" s="9">
        <v>0</v>
      </c>
      <c r="M347" s="9">
        <v>0.25</v>
      </c>
      <c r="N347" s="9">
        <v>1</v>
      </c>
      <c r="O347" s="9">
        <v>1</v>
      </c>
      <c r="P347" s="9">
        <v>0</v>
      </c>
      <c r="Q347" s="9">
        <v>0</v>
      </c>
      <c r="R347" s="9">
        <v>0.25</v>
      </c>
      <c r="S347" s="9">
        <v>1</v>
      </c>
      <c r="T347" s="9">
        <v>1</v>
      </c>
      <c r="U347" s="9">
        <v>0.25</v>
      </c>
      <c r="V347" s="9">
        <v>0</v>
      </c>
      <c r="W347" s="9">
        <v>0</v>
      </c>
      <c r="X347" s="9">
        <v>0</v>
      </c>
      <c r="Y347" s="9">
        <v>0</v>
      </c>
      <c r="Z347" s="9">
        <v>0</v>
      </c>
      <c r="AA347" s="9">
        <v>0</v>
      </c>
      <c r="AB347" s="9">
        <v>0</v>
      </c>
      <c r="AC347" s="9">
        <v>0</v>
      </c>
      <c r="AD347" s="9">
        <v>0</v>
      </c>
    </row>
    <row r="348" spans="1:30" ht="38.25" hidden="1" x14ac:dyDescent="0.2">
      <c r="A348" s="7">
        <v>1297</v>
      </c>
      <c r="B348" s="8" t="s">
        <v>811</v>
      </c>
      <c r="C348" s="8" t="s">
        <v>132</v>
      </c>
      <c r="D348" s="9">
        <v>4.3312499999999997E-2</v>
      </c>
      <c r="E348" s="8" t="s">
        <v>492</v>
      </c>
      <c r="F348" s="8" t="str">
        <f t="shared" si="5"/>
        <v>Wk1</v>
      </c>
      <c r="G348" s="9">
        <v>0</v>
      </c>
      <c r="H348" s="9">
        <v>0</v>
      </c>
      <c r="I348" s="9">
        <v>0</v>
      </c>
      <c r="J348" s="9">
        <v>0</v>
      </c>
      <c r="K348" s="9">
        <v>0</v>
      </c>
      <c r="L348" s="9">
        <v>0</v>
      </c>
      <c r="M348" s="9">
        <v>0</v>
      </c>
      <c r="N348" s="9">
        <v>0</v>
      </c>
      <c r="O348" s="9">
        <v>0</v>
      </c>
      <c r="P348" s="9">
        <v>1</v>
      </c>
      <c r="Q348" s="9">
        <v>1</v>
      </c>
      <c r="R348" s="9">
        <v>1</v>
      </c>
      <c r="S348" s="9">
        <v>1</v>
      </c>
      <c r="T348" s="9">
        <v>1</v>
      </c>
      <c r="U348" s="9">
        <v>1</v>
      </c>
      <c r="V348" s="9">
        <v>1</v>
      </c>
      <c r="W348" s="9">
        <v>1</v>
      </c>
      <c r="X348" s="9">
        <v>0</v>
      </c>
      <c r="Y348" s="9">
        <v>0</v>
      </c>
      <c r="Z348" s="9">
        <v>0</v>
      </c>
      <c r="AA348" s="9">
        <v>0</v>
      </c>
      <c r="AB348" s="9">
        <v>0</v>
      </c>
      <c r="AC348" s="9">
        <v>0</v>
      </c>
      <c r="AD348" s="9">
        <v>0</v>
      </c>
    </row>
    <row r="349" spans="1:30" ht="51" hidden="1" x14ac:dyDescent="0.2">
      <c r="A349" s="7">
        <v>1298</v>
      </c>
      <c r="B349" s="8" t="s">
        <v>105</v>
      </c>
      <c r="C349" s="8" t="s">
        <v>320</v>
      </c>
      <c r="D349" s="9">
        <v>1.2375000000000001E-3</v>
      </c>
      <c r="E349" s="8" t="s">
        <v>23</v>
      </c>
      <c r="F349" s="8" t="str">
        <f t="shared" si="5"/>
        <v>WK1</v>
      </c>
      <c r="G349" s="9">
        <v>0</v>
      </c>
      <c r="H349" s="9">
        <v>0</v>
      </c>
      <c r="I349" s="9">
        <v>0</v>
      </c>
      <c r="J349" s="9">
        <v>0</v>
      </c>
      <c r="K349" s="9">
        <v>0</v>
      </c>
      <c r="L349" s="9">
        <v>0</v>
      </c>
      <c r="M349" s="9">
        <v>0</v>
      </c>
      <c r="N349" s="9">
        <v>0</v>
      </c>
      <c r="O349" s="9">
        <v>0</v>
      </c>
      <c r="P349" s="9">
        <v>0.75</v>
      </c>
      <c r="Q349" s="9">
        <v>1</v>
      </c>
      <c r="R349" s="9">
        <v>1</v>
      </c>
      <c r="S349" s="9">
        <v>0.75</v>
      </c>
      <c r="T349" s="9">
        <v>0.75</v>
      </c>
      <c r="U349" s="9">
        <v>1</v>
      </c>
      <c r="V349" s="9">
        <v>1</v>
      </c>
      <c r="W349" s="9">
        <v>1</v>
      </c>
      <c r="X349" s="9">
        <v>0.75</v>
      </c>
      <c r="Y349" s="9">
        <v>0</v>
      </c>
      <c r="Z349" s="9">
        <v>0</v>
      </c>
      <c r="AA349" s="9">
        <v>0</v>
      </c>
      <c r="AB349" s="9">
        <v>0</v>
      </c>
      <c r="AC349" s="9">
        <v>0</v>
      </c>
      <c r="AD349" s="9">
        <v>0</v>
      </c>
    </row>
    <row r="350" spans="1:30" ht="38.25" hidden="1" x14ac:dyDescent="0.2">
      <c r="A350" s="7">
        <v>1301</v>
      </c>
      <c r="B350" s="8" t="s">
        <v>127</v>
      </c>
      <c r="C350" s="8" t="s">
        <v>24</v>
      </c>
      <c r="D350" s="9">
        <v>0.12587301587250002</v>
      </c>
      <c r="E350" s="8" t="s">
        <v>321</v>
      </c>
      <c r="F350" s="8" t="str">
        <f t="shared" si="5"/>
        <v>WK1</v>
      </c>
      <c r="G350" s="9">
        <v>0</v>
      </c>
      <c r="H350" s="9">
        <v>0</v>
      </c>
      <c r="I350" s="9">
        <v>0</v>
      </c>
      <c r="J350" s="9">
        <v>0</v>
      </c>
      <c r="K350" s="9">
        <v>0</v>
      </c>
      <c r="L350" s="9">
        <v>0</v>
      </c>
      <c r="M350" s="9">
        <v>0</v>
      </c>
      <c r="N350" s="9">
        <v>0</v>
      </c>
      <c r="O350" s="9">
        <v>0</v>
      </c>
      <c r="P350" s="9">
        <v>1</v>
      </c>
      <c r="Q350" s="9">
        <v>1</v>
      </c>
      <c r="R350" s="9">
        <v>1</v>
      </c>
      <c r="S350" s="9">
        <v>1</v>
      </c>
      <c r="T350" s="9">
        <v>1</v>
      </c>
      <c r="U350" s="9">
        <v>1</v>
      </c>
      <c r="V350" s="9">
        <v>1</v>
      </c>
      <c r="W350" s="9">
        <v>1</v>
      </c>
      <c r="X350" s="9">
        <v>1</v>
      </c>
      <c r="Y350" s="9">
        <v>1</v>
      </c>
      <c r="Z350" s="9">
        <v>1</v>
      </c>
      <c r="AA350" s="9">
        <v>1</v>
      </c>
      <c r="AB350" s="9">
        <v>0</v>
      </c>
      <c r="AC350" s="9">
        <v>0</v>
      </c>
      <c r="AD350" s="9">
        <v>0</v>
      </c>
    </row>
    <row r="351" spans="1:30" ht="51" hidden="1" x14ac:dyDescent="0.2">
      <c r="A351" s="7">
        <v>1302</v>
      </c>
      <c r="B351" s="8" t="s">
        <v>25</v>
      </c>
      <c r="C351" s="8" t="s">
        <v>53</v>
      </c>
      <c r="D351" s="9">
        <v>9.6250000000000002E-2</v>
      </c>
      <c r="E351" s="8" t="s">
        <v>56</v>
      </c>
      <c r="F351" s="8" t="str">
        <f t="shared" si="5"/>
        <v>Wk1</v>
      </c>
      <c r="G351" s="9">
        <v>0</v>
      </c>
      <c r="H351" s="9">
        <v>0</v>
      </c>
      <c r="I351" s="9">
        <v>0</v>
      </c>
      <c r="J351" s="9">
        <v>0</v>
      </c>
      <c r="K351" s="9">
        <v>0</v>
      </c>
      <c r="L351" s="9">
        <v>0</v>
      </c>
      <c r="M351" s="9">
        <v>0</v>
      </c>
      <c r="N351" s="9">
        <v>0</v>
      </c>
      <c r="O351" s="9">
        <v>0</v>
      </c>
      <c r="P351" s="9">
        <v>1</v>
      </c>
      <c r="Q351" s="9">
        <v>1</v>
      </c>
      <c r="R351" s="9">
        <v>1</v>
      </c>
      <c r="S351" s="9">
        <v>1</v>
      </c>
      <c r="T351" s="9">
        <v>1</v>
      </c>
      <c r="U351" s="9">
        <v>1</v>
      </c>
      <c r="V351" s="9">
        <v>1</v>
      </c>
      <c r="W351" s="9">
        <v>1</v>
      </c>
      <c r="X351" s="9">
        <v>0</v>
      </c>
      <c r="Y351" s="9">
        <v>0</v>
      </c>
      <c r="Z351" s="9">
        <v>0</v>
      </c>
      <c r="AA351" s="9">
        <v>0</v>
      </c>
      <c r="AB351" s="9">
        <v>0</v>
      </c>
      <c r="AC351" s="9">
        <v>0</v>
      </c>
      <c r="AD351" s="9">
        <v>0</v>
      </c>
    </row>
    <row r="352" spans="1:30" ht="51" hidden="1" x14ac:dyDescent="0.2">
      <c r="A352" s="7">
        <v>1303</v>
      </c>
      <c r="B352" s="8" t="s">
        <v>26</v>
      </c>
      <c r="C352" s="8" t="s">
        <v>211</v>
      </c>
      <c r="D352" s="9">
        <v>1.0857142857714287E-2</v>
      </c>
      <c r="E352" s="8" t="s">
        <v>27</v>
      </c>
      <c r="F352" s="8" t="str">
        <f t="shared" si="5"/>
        <v>Wk1</v>
      </c>
      <c r="G352" s="9">
        <v>0.5</v>
      </c>
      <c r="H352" s="9">
        <v>0.5</v>
      </c>
      <c r="I352" s="9">
        <v>0.5</v>
      </c>
      <c r="J352" s="9">
        <v>0.5</v>
      </c>
      <c r="K352" s="9">
        <v>0.5</v>
      </c>
      <c r="L352" s="9">
        <v>0.5</v>
      </c>
      <c r="M352" s="9">
        <v>0.5</v>
      </c>
      <c r="N352" s="9">
        <v>0.75</v>
      </c>
      <c r="O352" s="9">
        <v>1</v>
      </c>
      <c r="P352" s="9">
        <v>1</v>
      </c>
      <c r="Q352" s="9">
        <v>1</v>
      </c>
      <c r="R352" s="9">
        <v>1</v>
      </c>
      <c r="S352" s="9">
        <v>1</v>
      </c>
      <c r="T352" s="9">
        <v>1</v>
      </c>
      <c r="U352" s="9">
        <v>1</v>
      </c>
      <c r="V352" s="9">
        <v>1</v>
      </c>
      <c r="W352" s="9">
        <v>1</v>
      </c>
      <c r="X352" s="9">
        <v>1</v>
      </c>
      <c r="Y352" s="9">
        <v>0.75</v>
      </c>
      <c r="Z352" s="9">
        <v>0.5</v>
      </c>
      <c r="AA352" s="9">
        <v>0.5</v>
      </c>
      <c r="AB352" s="9">
        <v>0.5</v>
      </c>
      <c r="AC352" s="9">
        <v>0.5</v>
      </c>
      <c r="AD352" s="9">
        <v>0.5</v>
      </c>
    </row>
    <row r="353" spans="1:30" ht="51" hidden="1" x14ac:dyDescent="0.2">
      <c r="A353" s="7">
        <v>1304</v>
      </c>
      <c r="B353" s="8" t="s">
        <v>28</v>
      </c>
      <c r="C353" s="8" t="s">
        <v>211</v>
      </c>
      <c r="D353" s="9">
        <v>9.5142857142857168E-2</v>
      </c>
      <c r="E353" s="8" t="s">
        <v>29</v>
      </c>
      <c r="F353" s="8" t="str">
        <f t="shared" si="5"/>
        <v>Wk1</v>
      </c>
      <c r="G353" s="9">
        <v>0.5</v>
      </c>
      <c r="H353" s="9">
        <v>0.5</v>
      </c>
      <c r="I353" s="9">
        <v>0.5</v>
      </c>
      <c r="J353" s="9">
        <v>0.5</v>
      </c>
      <c r="K353" s="9">
        <v>0.5</v>
      </c>
      <c r="L353" s="9">
        <v>0.5</v>
      </c>
      <c r="M353" s="9">
        <v>0.5</v>
      </c>
      <c r="N353" s="9">
        <v>0.75</v>
      </c>
      <c r="O353" s="9">
        <v>1</v>
      </c>
      <c r="P353" s="9">
        <v>1</v>
      </c>
      <c r="Q353" s="9">
        <v>1</v>
      </c>
      <c r="R353" s="9">
        <v>1</v>
      </c>
      <c r="S353" s="9">
        <v>1</v>
      </c>
      <c r="T353" s="9">
        <v>1</v>
      </c>
      <c r="U353" s="9">
        <v>1</v>
      </c>
      <c r="V353" s="9">
        <v>1</v>
      </c>
      <c r="W353" s="9">
        <v>1</v>
      </c>
      <c r="X353" s="9">
        <v>1</v>
      </c>
      <c r="Y353" s="9">
        <v>0.75</v>
      </c>
      <c r="Z353" s="9">
        <v>0.5</v>
      </c>
      <c r="AA353" s="9">
        <v>0.5</v>
      </c>
      <c r="AB353" s="9">
        <v>0.5</v>
      </c>
      <c r="AC353" s="9">
        <v>0.5</v>
      </c>
      <c r="AD353" s="9">
        <v>0.5</v>
      </c>
    </row>
    <row r="354" spans="1:30" ht="51" hidden="1" x14ac:dyDescent="0.2">
      <c r="A354" s="7">
        <v>1305</v>
      </c>
      <c r="B354" s="8" t="s">
        <v>812</v>
      </c>
      <c r="C354" s="8" t="s">
        <v>132</v>
      </c>
      <c r="D354" s="9">
        <v>0.11687500000000001</v>
      </c>
      <c r="E354" s="8" t="s">
        <v>30</v>
      </c>
      <c r="F354" s="8" t="str">
        <f t="shared" si="5"/>
        <v>Wk1</v>
      </c>
      <c r="G354" s="9">
        <v>0</v>
      </c>
      <c r="H354" s="9">
        <v>0</v>
      </c>
      <c r="I354" s="9">
        <v>0</v>
      </c>
      <c r="J354" s="9">
        <v>0</v>
      </c>
      <c r="K354" s="9">
        <v>0</v>
      </c>
      <c r="L354" s="9">
        <v>0</v>
      </c>
      <c r="M354" s="9">
        <v>0</v>
      </c>
      <c r="N354" s="9">
        <v>0</v>
      </c>
      <c r="O354" s="9">
        <v>0</v>
      </c>
      <c r="P354" s="9">
        <v>0.75</v>
      </c>
      <c r="Q354" s="9">
        <v>1</v>
      </c>
      <c r="R354" s="9">
        <v>1</v>
      </c>
      <c r="S354" s="9">
        <v>0.75</v>
      </c>
      <c r="T354" s="9">
        <v>0.75</v>
      </c>
      <c r="U354" s="9">
        <v>1</v>
      </c>
      <c r="V354" s="9">
        <v>1</v>
      </c>
      <c r="W354" s="9">
        <v>1</v>
      </c>
      <c r="X354" s="9">
        <v>0.75</v>
      </c>
      <c r="Y354" s="9">
        <v>0</v>
      </c>
      <c r="Z354" s="9">
        <v>0</v>
      </c>
      <c r="AA354" s="9">
        <v>0</v>
      </c>
      <c r="AB354" s="9">
        <v>0</v>
      </c>
      <c r="AC354" s="9">
        <v>0</v>
      </c>
      <c r="AD354" s="9">
        <v>0</v>
      </c>
    </row>
    <row r="355" spans="1:30" ht="51" hidden="1" x14ac:dyDescent="0.2">
      <c r="A355" s="7">
        <v>1306</v>
      </c>
      <c r="B355" s="8" t="s">
        <v>813</v>
      </c>
      <c r="C355" s="8" t="s">
        <v>132</v>
      </c>
      <c r="D355" s="9">
        <v>0.11687500000000001</v>
      </c>
      <c r="E355" s="8" t="s">
        <v>493</v>
      </c>
      <c r="F355" s="8" t="str">
        <f t="shared" si="5"/>
        <v>Wk1</v>
      </c>
      <c r="G355" s="9">
        <v>0</v>
      </c>
      <c r="H355" s="9">
        <v>0</v>
      </c>
      <c r="I355" s="9">
        <v>0</v>
      </c>
      <c r="J355" s="9">
        <v>0</v>
      </c>
      <c r="K355" s="9">
        <v>0</v>
      </c>
      <c r="L355" s="9">
        <v>0</v>
      </c>
      <c r="M355" s="9">
        <v>0</v>
      </c>
      <c r="N355" s="9">
        <v>0</v>
      </c>
      <c r="O355" s="9">
        <v>0</v>
      </c>
      <c r="P355" s="9">
        <v>0.75</v>
      </c>
      <c r="Q355" s="9">
        <v>1</v>
      </c>
      <c r="R355" s="9">
        <v>1</v>
      </c>
      <c r="S355" s="9">
        <v>0.75</v>
      </c>
      <c r="T355" s="9">
        <v>0.75</v>
      </c>
      <c r="U355" s="9">
        <v>1</v>
      </c>
      <c r="V355" s="9">
        <v>1</v>
      </c>
      <c r="W355" s="9">
        <v>1</v>
      </c>
      <c r="X355" s="9">
        <v>0.75</v>
      </c>
      <c r="Y355" s="9">
        <v>0</v>
      </c>
      <c r="Z355" s="9">
        <v>0</v>
      </c>
      <c r="AA355" s="9">
        <v>0</v>
      </c>
      <c r="AB355" s="9">
        <v>0</v>
      </c>
      <c r="AC355" s="9">
        <v>0</v>
      </c>
      <c r="AD355" s="9">
        <v>0</v>
      </c>
    </row>
    <row r="356" spans="1:30" ht="63.75" hidden="1" x14ac:dyDescent="0.2">
      <c r="A356" s="7">
        <v>1307</v>
      </c>
      <c r="B356" s="8" t="s">
        <v>814</v>
      </c>
      <c r="C356" s="8" t="s">
        <v>132</v>
      </c>
      <c r="D356" s="9">
        <v>0.11687500000000001</v>
      </c>
      <c r="E356" s="8" t="s">
        <v>494</v>
      </c>
      <c r="F356" s="8" t="str">
        <f t="shared" si="5"/>
        <v>Wk1</v>
      </c>
      <c r="G356" s="9">
        <v>0</v>
      </c>
      <c r="H356" s="9">
        <v>0</v>
      </c>
      <c r="I356" s="9">
        <v>0</v>
      </c>
      <c r="J356" s="9">
        <v>0</v>
      </c>
      <c r="K356" s="9">
        <v>0</v>
      </c>
      <c r="L356" s="9">
        <v>0</v>
      </c>
      <c r="M356" s="9">
        <v>0</v>
      </c>
      <c r="N356" s="9">
        <v>0</v>
      </c>
      <c r="O356" s="9">
        <v>0</v>
      </c>
      <c r="P356" s="9">
        <v>0.75</v>
      </c>
      <c r="Q356" s="9">
        <v>1</v>
      </c>
      <c r="R356" s="9">
        <v>1</v>
      </c>
      <c r="S356" s="9">
        <v>0.75</v>
      </c>
      <c r="T356" s="9">
        <v>0.75</v>
      </c>
      <c r="U356" s="9">
        <v>1</v>
      </c>
      <c r="V356" s="9">
        <v>1</v>
      </c>
      <c r="W356" s="9">
        <v>1</v>
      </c>
      <c r="X356" s="9">
        <v>0.75</v>
      </c>
      <c r="Y356" s="9">
        <v>0</v>
      </c>
      <c r="Z356" s="9">
        <v>0</v>
      </c>
      <c r="AA356" s="9">
        <v>0</v>
      </c>
      <c r="AB356" s="9">
        <v>0</v>
      </c>
      <c r="AC356" s="9">
        <v>0</v>
      </c>
      <c r="AD356" s="9">
        <v>0</v>
      </c>
    </row>
    <row r="357" spans="1:30" ht="51" hidden="1" x14ac:dyDescent="0.2">
      <c r="A357" s="7">
        <v>1308</v>
      </c>
      <c r="B357" s="8" t="s">
        <v>815</v>
      </c>
      <c r="C357" s="8" t="s">
        <v>132</v>
      </c>
      <c r="D357" s="9">
        <v>0.11687500000000001</v>
      </c>
      <c r="E357" s="8" t="s">
        <v>31</v>
      </c>
      <c r="F357" s="8" t="str">
        <f t="shared" si="5"/>
        <v>Wk1</v>
      </c>
      <c r="G357" s="9">
        <v>0</v>
      </c>
      <c r="H357" s="9">
        <v>0</v>
      </c>
      <c r="I357" s="9">
        <v>0</v>
      </c>
      <c r="J357" s="9">
        <v>0</v>
      </c>
      <c r="K357" s="9">
        <v>0</v>
      </c>
      <c r="L357" s="9">
        <v>0</v>
      </c>
      <c r="M357" s="9">
        <v>0</v>
      </c>
      <c r="N357" s="9">
        <v>0</v>
      </c>
      <c r="O357" s="9">
        <v>0</v>
      </c>
      <c r="P357" s="9">
        <v>0.75</v>
      </c>
      <c r="Q357" s="9">
        <v>1</v>
      </c>
      <c r="R357" s="9">
        <v>1</v>
      </c>
      <c r="S357" s="9">
        <v>0.75</v>
      </c>
      <c r="T357" s="9">
        <v>0.75</v>
      </c>
      <c r="U357" s="9">
        <v>1</v>
      </c>
      <c r="V357" s="9">
        <v>1</v>
      </c>
      <c r="W357" s="9">
        <v>1</v>
      </c>
      <c r="X357" s="9">
        <v>0.75</v>
      </c>
      <c r="Y357" s="9">
        <v>0</v>
      </c>
      <c r="Z357" s="9">
        <v>0</v>
      </c>
      <c r="AA357" s="9">
        <v>0</v>
      </c>
      <c r="AB357" s="9">
        <v>0</v>
      </c>
      <c r="AC357" s="9">
        <v>0</v>
      </c>
      <c r="AD357" s="9">
        <v>0</v>
      </c>
    </row>
    <row r="358" spans="1:30" ht="63.75" hidden="1" x14ac:dyDescent="0.2">
      <c r="A358" s="7">
        <v>1309</v>
      </c>
      <c r="B358" s="8" t="s">
        <v>816</v>
      </c>
      <c r="C358" s="8" t="s">
        <v>132</v>
      </c>
      <c r="D358" s="9">
        <v>0.11687500000000001</v>
      </c>
      <c r="E358" s="8" t="s">
        <v>495</v>
      </c>
      <c r="F358" s="8" t="str">
        <f t="shared" si="5"/>
        <v>Wk1</v>
      </c>
      <c r="G358" s="9">
        <v>0</v>
      </c>
      <c r="H358" s="9">
        <v>0</v>
      </c>
      <c r="I358" s="9">
        <v>0</v>
      </c>
      <c r="J358" s="9">
        <v>0</v>
      </c>
      <c r="K358" s="9">
        <v>0</v>
      </c>
      <c r="L358" s="9">
        <v>0</v>
      </c>
      <c r="M358" s="9">
        <v>0</v>
      </c>
      <c r="N358" s="9">
        <v>0</v>
      </c>
      <c r="O358" s="9">
        <v>0</v>
      </c>
      <c r="P358" s="9">
        <v>0.75</v>
      </c>
      <c r="Q358" s="9">
        <v>1</v>
      </c>
      <c r="R358" s="9">
        <v>1</v>
      </c>
      <c r="S358" s="9">
        <v>0.75</v>
      </c>
      <c r="T358" s="9">
        <v>0.75</v>
      </c>
      <c r="U358" s="9">
        <v>1</v>
      </c>
      <c r="V358" s="9">
        <v>1</v>
      </c>
      <c r="W358" s="9">
        <v>1</v>
      </c>
      <c r="X358" s="9">
        <v>0.75</v>
      </c>
      <c r="Y358" s="9">
        <v>0</v>
      </c>
      <c r="Z358" s="9">
        <v>0</v>
      </c>
      <c r="AA358" s="9">
        <v>0</v>
      </c>
      <c r="AB358" s="9">
        <v>0</v>
      </c>
      <c r="AC358" s="9">
        <v>0</v>
      </c>
      <c r="AD358" s="9">
        <v>0</v>
      </c>
    </row>
    <row r="359" spans="1:30" ht="63.75" hidden="1" x14ac:dyDescent="0.2">
      <c r="A359" s="7">
        <v>1310</v>
      </c>
      <c r="B359" s="8" t="s">
        <v>817</v>
      </c>
      <c r="C359" s="8" t="s">
        <v>132</v>
      </c>
      <c r="D359" s="9">
        <v>0.11687500000000001</v>
      </c>
      <c r="E359" s="8" t="s">
        <v>496</v>
      </c>
      <c r="F359" s="8" t="str">
        <f t="shared" si="5"/>
        <v>Wk1</v>
      </c>
      <c r="G359" s="9">
        <v>0</v>
      </c>
      <c r="H359" s="9">
        <v>0</v>
      </c>
      <c r="I359" s="9">
        <v>0</v>
      </c>
      <c r="J359" s="9">
        <v>0</v>
      </c>
      <c r="K359" s="9">
        <v>0</v>
      </c>
      <c r="L359" s="9">
        <v>0</v>
      </c>
      <c r="M359" s="9">
        <v>0</v>
      </c>
      <c r="N359" s="9">
        <v>0</v>
      </c>
      <c r="O359" s="9">
        <v>0</v>
      </c>
      <c r="P359" s="9">
        <v>0.75</v>
      </c>
      <c r="Q359" s="9">
        <v>1</v>
      </c>
      <c r="R359" s="9">
        <v>1</v>
      </c>
      <c r="S359" s="9">
        <v>0.75</v>
      </c>
      <c r="T359" s="9">
        <v>0.75</v>
      </c>
      <c r="U359" s="9">
        <v>1</v>
      </c>
      <c r="V359" s="9">
        <v>1</v>
      </c>
      <c r="W359" s="9">
        <v>1</v>
      </c>
      <c r="X359" s="9">
        <v>0.75</v>
      </c>
      <c r="Y359" s="9">
        <v>0</v>
      </c>
      <c r="Z359" s="9">
        <v>0</v>
      </c>
      <c r="AA359" s="9">
        <v>0</v>
      </c>
      <c r="AB359" s="9">
        <v>0</v>
      </c>
      <c r="AC359" s="9">
        <v>0</v>
      </c>
      <c r="AD359" s="9">
        <v>0</v>
      </c>
    </row>
  </sheetData>
  <autoFilter ref="A8:AD359" xr:uid="{00000000-0009-0000-0000-000001000000}">
    <filterColumn colId="1">
      <filters>
        <filter val="Eating/drinking area"/>
      </filters>
    </filterColumn>
    <filterColumn colId="5">
      <filters>
        <filter val="WK1"/>
      </filters>
    </filterColumn>
  </autoFilter>
  <pageMargins left="0.75" right="0.75" top="1" bottom="1" header="0.5" footer="0.5"/>
  <pageSetup paperSize="9" orientation="portrait" verticalDpi="599"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BU96"/>
  <sheetViews>
    <sheetView zoomScaleNormal="100" workbookViewId="0">
      <pane xSplit="1" ySplit="3" topLeftCell="L13" activePane="bottomRight" state="frozen"/>
      <selection pane="topRight" activeCell="C1" sqref="C1"/>
      <selection pane="bottomLeft" activeCell="A3" sqref="A3"/>
      <selection pane="bottomRight" activeCell="A17" sqref="A17:XFD20"/>
    </sheetView>
  </sheetViews>
  <sheetFormatPr defaultRowHeight="12.75" x14ac:dyDescent="0.2"/>
  <cols>
    <col min="1" max="1" width="66.42578125" style="3" customWidth="1"/>
    <col min="2" max="2" width="62.42578125" style="5" customWidth="1"/>
    <col min="3" max="3" width="13.85546875" style="1" customWidth="1"/>
    <col min="4" max="6" width="11.7109375" style="1" customWidth="1"/>
    <col min="7" max="8" width="11.7109375" style="15" customWidth="1"/>
    <col min="9" max="10" width="10.28515625" style="2" customWidth="1"/>
    <col min="11" max="11" width="14.28515625" style="2" customWidth="1"/>
    <col min="12" max="12" width="11" style="2" customWidth="1"/>
    <col min="13" max="13" width="11.140625" style="2" customWidth="1"/>
    <col min="14" max="14" width="12.140625" style="2" customWidth="1"/>
    <col min="15" max="15" width="12.42578125" style="2" customWidth="1"/>
    <col min="16" max="16" width="11.28515625" style="2" customWidth="1"/>
    <col min="17" max="17" width="10" style="2" customWidth="1"/>
    <col min="18" max="20" width="13.7109375" style="2" customWidth="1"/>
    <col min="21" max="21" width="15" style="2" customWidth="1"/>
    <col min="22" max="22" width="11.140625" style="2" customWidth="1"/>
    <col min="23" max="23" width="14.42578125" style="2" customWidth="1"/>
    <col min="24" max="25" width="14.85546875" style="2" customWidth="1"/>
    <col min="26" max="26" width="16.28515625" style="2" customWidth="1"/>
    <col min="27" max="27" width="10" style="2" customWidth="1"/>
    <col min="28" max="28" width="10.140625" style="2" customWidth="1"/>
    <col min="29" max="29" width="10.5703125" style="13" customWidth="1"/>
    <col min="30" max="33" width="9.140625" style="2"/>
    <col min="34" max="34" width="11.5703125" style="2" customWidth="1"/>
    <col min="35" max="36" width="10.42578125" style="2" customWidth="1"/>
    <col min="37" max="39" width="12" style="2" customWidth="1"/>
    <col min="40" max="40" width="12.28515625" style="2" customWidth="1"/>
    <col min="41" max="41" width="12.85546875" style="2" customWidth="1"/>
    <col min="42" max="42" width="12.28515625" style="2" customWidth="1"/>
    <col min="43" max="44" width="9.140625" style="2"/>
    <col min="45" max="45" width="9.85546875" style="23" customWidth="1"/>
    <col min="46" max="46" width="41.140625" customWidth="1"/>
    <col min="47" max="52" width="10.7109375" customWidth="1"/>
    <col min="53" max="53" width="34" customWidth="1"/>
    <col min="55" max="55" width="15.7109375" hidden="1" customWidth="1"/>
    <col min="56" max="56" width="14.5703125" hidden="1" customWidth="1"/>
    <col min="57" max="57" width="2.42578125" customWidth="1"/>
    <col min="58" max="58" width="16.42578125" customWidth="1"/>
    <col min="59" max="59" width="14.85546875" customWidth="1"/>
    <col min="60" max="60" width="2.28515625" customWidth="1"/>
    <col min="61" max="61" width="16.140625" customWidth="1"/>
    <col min="62" max="62" width="15.85546875" customWidth="1"/>
    <col min="63" max="63" width="3.28515625" customWidth="1"/>
    <col min="64" max="64" width="14" customWidth="1"/>
    <col min="65" max="65" width="14.7109375" customWidth="1"/>
    <col min="66" max="66" width="2.7109375" customWidth="1"/>
    <col min="67" max="67" width="17.42578125" style="17" customWidth="1"/>
    <col min="68" max="68" width="18.5703125" style="17" customWidth="1"/>
    <col min="69" max="69" width="20.28515625" style="14" customWidth="1"/>
    <col min="70" max="70" width="20.5703125" customWidth="1"/>
    <col min="71" max="71" width="17" customWidth="1"/>
    <col min="72" max="72" width="16.140625" customWidth="1"/>
    <col min="73" max="73" width="25" style="4" customWidth="1"/>
  </cols>
  <sheetData>
    <row r="1" spans="1:73" s="32" customFormat="1" x14ac:dyDescent="0.2">
      <c r="A1" s="32">
        <v>1</v>
      </c>
      <c r="B1" s="33">
        <v>2</v>
      </c>
      <c r="C1" s="32">
        <v>3</v>
      </c>
      <c r="D1" s="32">
        <v>4</v>
      </c>
      <c r="E1" s="32">
        <v>5</v>
      </c>
      <c r="F1" s="32">
        <v>6</v>
      </c>
      <c r="G1" s="32">
        <v>7</v>
      </c>
      <c r="H1" s="32">
        <v>8</v>
      </c>
      <c r="I1" s="32">
        <v>9</v>
      </c>
      <c r="J1" s="32">
        <v>10</v>
      </c>
      <c r="K1" s="32">
        <v>11</v>
      </c>
      <c r="L1" s="32">
        <v>12</v>
      </c>
      <c r="M1" s="32">
        <v>13</v>
      </c>
      <c r="N1" s="32">
        <v>14</v>
      </c>
      <c r="O1" s="32">
        <v>15</v>
      </c>
      <c r="P1" s="32">
        <v>16</v>
      </c>
      <c r="Q1" s="32">
        <v>17</v>
      </c>
      <c r="R1" s="32">
        <v>18</v>
      </c>
      <c r="S1" s="32">
        <v>19</v>
      </c>
      <c r="T1" s="32">
        <v>20</v>
      </c>
      <c r="U1" s="32">
        <v>21</v>
      </c>
      <c r="V1" s="32">
        <v>22</v>
      </c>
      <c r="W1" s="32">
        <v>23</v>
      </c>
      <c r="X1" s="32">
        <v>24</v>
      </c>
      <c r="Y1" s="32">
        <v>25</v>
      </c>
      <c r="Z1" s="32">
        <v>26</v>
      </c>
      <c r="AA1" s="32">
        <v>27</v>
      </c>
      <c r="AB1" s="32">
        <v>28</v>
      </c>
      <c r="AC1" s="32">
        <v>29</v>
      </c>
      <c r="AD1" s="32">
        <v>30</v>
      </c>
      <c r="AE1" s="32">
        <v>31</v>
      </c>
      <c r="AF1" s="32">
        <v>32</v>
      </c>
      <c r="AG1" s="32">
        <v>33</v>
      </c>
      <c r="AH1" s="32">
        <v>34</v>
      </c>
      <c r="AI1" s="32">
        <v>35</v>
      </c>
      <c r="AJ1" s="32">
        <v>36</v>
      </c>
      <c r="AK1" s="32">
        <v>37</v>
      </c>
      <c r="AL1" s="32">
        <v>38</v>
      </c>
      <c r="AM1" s="32">
        <v>39</v>
      </c>
      <c r="AN1" s="32">
        <v>40</v>
      </c>
      <c r="AO1" s="32">
        <v>41</v>
      </c>
      <c r="AP1" s="32">
        <v>42</v>
      </c>
      <c r="AQ1" s="32">
        <v>43</v>
      </c>
      <c r="AR1" s="32">
        <v>44</v>
      </c>
      <c r="AT1" s="32">
        <v>1</v>
      </c>
      <c r="AU1" s="32">
        <v>2</v>
      </c>
      <c r="AV1" s="32">
        <v>3</v>
      </c>
      <c r="AW1" s="32">
        <v>4</v>
      </c>
      <c r="AX1" s="32">
        <v>5</v>
      </c>
      <c r="AY1" s="32">
        <v>6</v>
      </c>
      <c r="AZ1" s="32">
        <v>7</v>
      </c>
      <c r="BA1" s="32">
        <v>8</v>
      </c>
      <c r="BO1" s="31"/>
      <c r="BP1" s="31"/>
    </row>
    <row r="2" spans="1:73" s="51" customFormat="1" ht="27" customHeight="1" x14ac:dyDescent="0.2">
      <c r="A2" s="214"/>
      <c r="B2" s="215"/>
      <c r="C2" s="216" t="s">
        <v>500</v>
      </c>
      <c r="D2" s="217"/>
      <c r="E2" s="218"/>
      <c r="F2" s="217" t="s">
        <v>159</v>
      </c>
      <c r="G2" s="595" t="s">
        <v>285</v>
      </c>
      <c r="H2" s="596"/>
      <c r="I2" s="219" t="s">
        <v>153</v>
      </c>
      <c r="J2" s="220"/>
      <c r="K2" s="221"/>
      <c r="L2" s="221"/>
      <c r="M2" s="221"/>
      <c r="N2" s="221"/>
      <c r="O2" s="221"/>
      <c r="P2" s="221"/>
      <c r="Q2" s="221"/>
      <c r="R2" s="221"/>
      <c r="S2" s="221"/>
      <c r="T2" s="221"/>
      <c r="U2" s="221"/>
      <c r="V2" s="221"/>
      <c r="W2" s="221"/>
      <c r="X2" s="221"/>
      <c r="Y2" s="221"/>
      <c r="Z2" s="221"/>
      <c r="AA2" s="219" t="s">
        <v>391</v>
      </c>
      <c r="AB2" s="221"/>
      <c r="AC2" s="221"/>
      <c r="AD2" s="221"/>
      <c r="AE2" s="221"/>
      <c r="AF2" s="221"/>
      <c r="AG2" s="221"/>
      <c r="AH2" s="221"/>
      <c r="AI2" s="221"/>
      <c r="AJ2" s="221"/>
      <c r="AK2" s="221"/>
      <c r="AL2" s="221"/>
      <c r="AM2" s="221"/>
      <c r="AN2" s="221"/>
      <c r="AO2" s="221"/>
      <c r="AP2" s="221"/>
      <c r="AQ2" s="219" t="s">
        <v>629</v>
      </c>
      <c r="AR2" s="222"/>
      <c r="AS2" s="50"/>
      <c r="AT2" s="230" t="s">
        <v>148</v>
      </c>
      <c r="AU2" s="231"/>
      <c r="AV2" s="231"/>
      <c r="AW2" s="231"/>
      <c r="AX2" s="231"/>
      <c r="AY2" s="231"/>
      <c r="AZ2" s="231"/>
      <c r="BA2" s="232"/>
      <c r="BQ2" s="32"/>
      <c r="BU2" s="54"/>
    </row>
    <row r="3" spans="1:73" s="56" customFormat="1" ht="58.5" customHeight="1" x14ac:dyDescent="0.2">
      <c r="A3" s="223" t="s">
        <v>147</v>
      </c>
      <c r="B3" s="224" t="s">
        <v>412</v>
      </c>
      <c r="C3" s="225" t="s">
        <v>405</v>
      </c>
      <c r="D3" s="225" t="s">
        <v>501</v>
      </c>
      <c r="E3" s="225" t="s">
        <v>389</v>
      </c>
      <c r="F3" s="225" t="s">
        <v>158</v>
      </c>
      <c r="G3" s="226" t="s">
        <v>408</v>
      </c>
      <c r="H3" s="226" t="s">
        <v>409</v>
      </c>
      <c r="I3" s="227" t="s">
        <v>519</v>
      </c>
      <c r="J3" s="227" t="s">
        <v>520</v>
      </c>
      <c r="K3" s="227" t="s">
        <v>518</v>
      </c>
      <c r="L3" s="227" t="s">
        <v>282</v>
      </c>
      <c r="M3" s="227" t="s">
        <v>392</v>
      </c>
      <c r="N3" s="227" t="s">
        <v>762</v>
      </c>
      <c r="O3" s="227" t="s">
        <v>394</v>
      </c>
      <c r="P3" s="227" t="s">
        <v>407</v>
      </c>
      <c r="Q3" s="227" t="s">
        <v>406</v>
      </c>
      <c r="R3" s="227" t="s">
        <v>94</v>
      </c>
      <c r="S3" s="227" t="s">
        <v>98</v>
      </c>
      <c r="T3" s="227" t="s">
        <v>99</v>
      </c>
      <c r="U3" s="227" t="s">
        <v>387</v>
      </c>
      <c r="V3" s="227" t="s">
        <v>111</v>
      </c>
      <c r="W3" s="227" t="s">
        <v>95</v>
      </c>
      <c r="X3" s="227" t="s">
        <v>109</v>
      </c>
      <c r="Y3" s="227" t="s">
        <v>112</v>
      </c>
      <c r="Z3" s="227" t="s">
        <v>110</v>
      </c>
      <c r="AA3" s="227" t="s">
        <v>395</v>
      </c>
      <c r="AB3" s="227" t="s">
        <v>411</v>
      </c>
      <c r="AC3" s="228" t="s">
        <v>393</v>
      </c>
      <c r="AD3" s="227" t="s">
        <v>272</v>
      </c>
      <c r="AE3" s="227" t="s">
        <v>271</v>
      </c>
      <c r="AF3" s="227" t="s">
        <v>410</v>
      </c>
      <c r="AG3" s="227" t="s">
        <v>497</v>
      </c>
      <c r="AH3" s="227" t="s">
        <v>96</v>
      </c>
      <c r="AI3" s="227" t="s">
        <v>98</v>
      </c>
      <c r="AJ3" s="227" t="s">
        <v>100</v>
      </c>
      <c r="AK3" s="227" t="s">
        <v>387</v>
      </c>
      <c r="AL3" s="227" t="s">
        <v>111</v>
      </c>
      <c r="AM3" s="227" t="s">
        <v>97</v>
      </c>
      <c r="AN3" s="227" t="s">
        <v>109</v>
      </c>
      <c r="AO3" s="229" t="s">
        <v>112</v>
      </c>
      <c r="AP3" s="229" t="s">
        <v>110</v>
      </c>
      <c r="AQ3" s="229" t="s">
        <v>624</v>
      </c>
      <c r="AR3" s="229" t="s">
        <v>283</v>
      </c>
      <c r="AS3" s="55"/>
      <c r="AT3" s="233" t="s">
        <v>384</v>
      </c>
      <c r="AU3" s="234" t="s">
        <v>383</v>
      </c>
      <c r="AV3" s="234" t="s">
        <v>514</v>
      </c>
      <c r="AW3" s="234" t="s">
        <v>513</v>
      </c>
      <c r="AX3" s="234" t="s">
        <v>512</v>
      </c>
      <c r="AY3" s="234" t="s">
        <v>511</v>
      </c>
      <c r="AZ3" s="234" t="s">
        <v>510</v>
      </c>
      <c r="BA3" s="233" t="s">
        <v>385</v>
      </c>
      <c r="BC3" s="214" t="s">
        <v>1015</v>
      </c>
      <c r="BD3" s="235"/>
      <c r="BF3" s="214" t="s">
        <v>1014</v>
      </c>
      <c r="BG3" s="235"/>
      <c r="BI3" s="214" t="s">
        <v>1013</v>
      </c>
      <c r="BJ3" s="235"/>
      <c r="BL3" s="214" t="s">
        <v>1012</v>
      </c>
      <c r="BM3" s="235"/>
      <c r="BO3" s="214" t="s">
        <v>1011</v>
      </c>
      <c r="BP3" s="235"/>
      <c r="BQ3" s="32"/>
      <c r="BR3" s="16" t="s">
        <v>793</v>
      </c>
    </row>
    <row r="4" spans="1:73" s="61" customFormat="1" ht="32.1" customHeight="1" x14ac:dyDescent="0.2">
      <c r="A4" s="236" t="s">
        <v>171</v>
      </c>
      <c r="B4" s="237" t="s">
        <v>984</v>
      </c>
      <c r="C4" s="238" t="s">
        <v>521</v>
      </c>
      <c r="D4" s="238">
        <v>253</v>
      </c>
      <c r="E4" s="238">
        <v>10</v>
      </c>
      <c r="F4" s="238" t="s">
        <v>160</v>
      </c>
      <c r="G4" s="239">
        <v>0.5</v>
      </c>
      <c r="H4" s="239">
        <v>0.5</v>
      </c>
      <c r="I4" s="240">
        <v>1</v>
      </c>
      <c r="J4" s="240">
        <v>4</v>
      </c>
      <c r="K4" s="240">
        <v>4</v>
      </c>
      <c r="L4" s="240">
        <v>3</v>
      </c>
      <c r="M4" s="240">
        <v>4</v>
      </c>
      <c r="N4" s="240">
        <v>0.03</v>
      </c>
      <c r="O4" s="240" t="s">
        <v>280</v>
      </c>
      <c r="P4" s="240" t="s">
        <v>280</v>
      </c>
      <c r="Q4" s="240" t="s">
        <v>280</v>
      </c>
      <c r="R4" s="240" t="s">
        <v>521</v>
      </c>
      <c r="S4" s="240" t="s">
        <v>521</v>
      </c>
      <c r="T4" s="240" t="s">
        <v>521</v>
      </c>
      <c r="U4" s="240" t="s">
        <v>521</v>
      </c>
      <c r="V4" s="240" t="s">
        <v>280</v>
      </c>
      <c r="W4" s="238" t="s">
        <v>521</v>
      </c>
      <c r="X4" s="240">
        <v>1.58</v>
      </c>
      <c r="Y4" s="238" t="s">
        <v>521</v>
      </c>
      <c r="Z4" s="238" t="s">
        <v>521</v>
      </c>
      <c r="AA4" s="240">
        <v>1</v>
      </c>
      <c r="AB4" s="240">
        <v>1</v>
      </c>
      <c r="AC4" s="241">
        <v>0.25</v>
      </c>
      <c r="AD4" s="240">
        <v>5.6</v>
      </c>
      <c r="AE4" s="240">
        <v>4.37</v>
      </c>
      <c r="AF4" s="240">
        <v>1</v>
      </c>
      <c r="AG4" s="240">
        <v>1</v>
      </c>
      <c r="AH4" s="238" t="s">
        <v>521</v>
      </c>
      <c r="AI4" s="238" t="s">
        <v>521</v>
      </c>
      <c r="AJ4" s="238" t="s">
        <v>521</v>
      </c>
      <c r="AK4" s="238" t="s">
        <v>521</v>
      </c>
      <c r="AL4" s="238" t="s">
        <v>521</v>
      </c>
      <c r="AM4" s="238" t="s">
        <v>521</v>
      </c>
      <c r="AN4" s="240">
        <v>1</v>
      </c>
      <c r="AO4" s="238" t="s">
        <v>521</v>
      </c>
      <c r="AP4" s="238" t="s">
        <v>521</v>
      </c>
      <c r="AQ4" s="239">
        <v>0.4</v>
      </c>
      <c r="AR4" s="241">
        <v>0.67700000000000005</v>
      </c>
      <c r="AS4" s="58"/>
      <c r="AT4" s="79" t="s">
        <v>519</v>
      </c>
      <c r="AU4" s="59">
        <v>6</v>
      </c>
      <c r="AV4" s="59">
        <v>5</v>
      </c>
      <c r="AW4" s="59">
        <v>4.5</v>
      </c>
      <c r="AX4" s="59">
        <v>4</v>
      </c>
      <c r="AY4" s="59">
        <v>3.75</v>
      </c>
      <c r="AZ4" s="59">
        <v>3</v>
      </c>
      <c r="BA4" s="60" t="s">
        <v>622</v>
      </c>
      <c r="BB4" s="51"/>
      <c r="BC4" s="583">
        <v>0</v>
      </c>
      <c r="BD4" s="111" t="s">
        <v>503</v>
      </c>
      <c r="BE4" s="51"/>
      <c r="BF4" s="583">
        <v>0</v>
      </c>
      <c r="BG4" s="111" t="s">
        <v>503</v>
      </c>
      <c r="BH4" s="51"/>
      <c r="BI4" s="583">
        <v>0</v>
      </c>
      <c r="BJ4" s="111" t="s">
        <v>503</v>
      </c>
      <c r="BK4" s="51"/>
      <c r="BL4" s="583">
        <v>0</v>
      </c>
      <c r="BM4" s="111" t="s">
        <v>503</v>
      </c>
      <c r="BN4" s="51"/>
      <c r="BO4" s="583">
        <v>0</v>
      </c>
      <c r="BP4" s="111" t="s">
        <v>503</v>
      </c>
      <c r="BR4" t="s">
        <v>773</v>
      </c>
    </row>
    <row r="5" spans="1:73" s="51" customFormat="1" ht="32.1" customHeight="1" x14ac:dyDescent="0.2">
      <c r="A5" s="89" t="s">
        <v>662</v>
      </c>
      <c r="B5" s="90" t="s">
        <v>663</v>
      </c>
      <c r="C5" s="108">
        <v>0.111</v>
      </c>
      <c r="D5" s="242"/>
      <c r="E5" s="242"/>
      <c r="F5" s="242"/>
      <c r="G5" s="243"/>
      <c r="H5" s="243"/>
      <c r="I5" s="244"/>
      <c r="J5" s="244"/>
      <c r="K5" s="244"/>
      <c r="L5" s="244"/>
      <c r="M5" s="244"/>
      <c r="N5" s="244"/>
      <c r="O5" s="244"/>
      <c r="P5" s="244"/>
      <c r="Q5" s="244"/>
      <c r="R5" s="245">
        <v>1</v>
      </c>
      <c r="S5" s="244"/>
      <c r="T5" s="244"/>
      <c r="U5" s="245">
        <v>0.04</v>
      </c>
      <c r="V5" s="244"/>
      <c r="W5" s="244"/>
      <c r="X5" s="244"/>
      <c r="Y5" s="244"/>
      <c r="Z5" s="244"/>
      <c r="AA5" s="244"/>
      <c r="AB5" s="244"/>
      <c r="AC5" s="246"/>
      <c r="AD5" s="244"/>
      <c r="AE5" s="244"/>
      <c r="AF5" s="244"/>
      <c r="AG5" s="244"/>
      <c r="AH5" s="245">
        <v>0.67</v>
      </c>
      <c r="AI5" s="244"/>
      <c r="AJ5" s="244"/>
      <c r="AK5" s="245">
        <v>1</v>
      </c>
      <c r="AL5" s="245" t="s">
        <v>280</v>
      </c>
      <c r="AM5" s="244"/>
      <c r="AN5" s="244"/>
      <c r="AO5" s="244"/>
      <c r="AP5" s="244"/>
      <c r="AQ5" s="244"/>
      <c r="AR5" s="244"/>
      <c r="AS5" s="58"/>
      <c r="AT5" s="79" t="s">
        <v>520</v>
      </c>
      <c r="AU5" s="82">
        <v>6</v>
      </c>
      <c r="AV5" s="82">
        <v>5</v>
      </c>
      <c r="AW5" s="82">
        <v>4.5</v>
      </c>
      <c r="AX5" s="82">
        <v>4</v>
      </c>
      <c r="AY5" s="82">
        <v>3.75</v>
      </c>
      <c r="AZ5" s="82">
        <v>3</v>
      </c>
      <c r="BA5" s="83" t="s">
        <v>622</v>
      </c>
      <c r="BC5" s="583">
        <v>0.125</v>
      </c>
      <c r="BD5" s="111" t="s">
        <v>504</v>
      </c>
      <c r="BF5" s="583">
        <v>0.125</v>
      </c>
      <c r="BG5" s="111" t="s">
        <v>504</v>
      </c>
      <c r="BI5" s="583">
        <v>0.125</v>
      </c>
      <c r="BJ5" s="111" t="s">
        <v>504</v>
      </c>
      <c r="BL5" s="583">
        <v>0.125</v>
      </c>
      <c r="BM5" s="111" t="s">
        <v>504</v>
      </c>
      <c r="BO5" s="583">
        <v>0.125</v>
      </c>
      <c r="BP5" s="111" t="s">
        <v>504</v>
      </c>
      <c r="BR5" t="s">
        <v>774</v>
      </c>
    </row>
    <row r="6" spans="1:73" s="51" customFormat="1" ht="33.75" customHeight="1" x14ac:dyDescent="0.2">
      <c r="A6" s="89" t="s">
        <v>803</v>
      </c>
      <c r="B6" s="90" t="s">
        <v>652</v>
      </c>
      <c r="C6" s="108">
        <v>4.3299999999999998E-2</v>
      </c>
      <c r="D6" s="242"/>
      <c r="E6" s="242"/>
      <c r="F6" s="242"/>
      <c r="G6" s="243"/>
      <c r="H6" s="243"/>
      <c r="I6" s="244"/>
      <c r="J6" s="244"/>
      <c r="K6" s="244"/>
      <c r="L6" s="244"/>
      <c r="M6" s="244"/>
      <c r="N6" s="244"/>
      <c r="O6" s="244"/>
      <c r="P6" s="244"/>
      <c r="Q6" s="244"/>
      <c r="R6" s="244"/>
      <c r="S6" s="245" t="s">
        <v>101</v>
      </c>
      <c r="T6" s="244"/>
      <c r="U6" s="245" t="s">
        <v>101</v>
      </c>
      <c r="V6" s="244" t="s">
        <v>280</v>
      </c>
      <c r="W6" s="245" t="s">
        <v>101</v>
      </c>
      <c r="X6" s="244"/>
      <c r="Y6" s="245" t="str">
        <f>IF('Office calculator'!F18="yes",'Office calculator'!G18*0.868*2.674,"see note")</f>
        <v>see note</v>
      </c>
      <c r="Z6" s="245" t="str">
        <f>IF('Office calculator'!F18="yes",'Office calculator'!G18*6.314*0.868,"See note")</f>
        <v>See note</v>
      </c>
      <c r="AA6" s="244"/>
      <c r="AB6" s="244"/>
      <c r="AC6" s="246"/>
      <c r="AD6" s="244"/>
      <c r="AE6" s="244"/>
      <c r="AF6" s="244"/>
      <c r="AG6" s="244"/>
      <c r="AH6" s="244"/>
      <c r="AI6" s="245">
        <v>60</v>
      </c>
      <c r="AJ6" s="244"/>
      <c r="AK6" s="247">
        <v>0.217</v>
      </c>
      <c r="AL6" s="245" t="s">
        <v>280</v>
      </c>
      <c r="AM6" s="245">
        <v>30</v>
      </c>
      <c r="AN6" s="244"/>
      <c r="AO6" s="245">
        <v>1</v>
      </c>
      <c r="AP6" s="245">
        <v>1</v>
      </c>
      <c r="AQ6" s="244"/>
      <c r="AR6" s="244"/>
      <c r="AS6" s="62"/>
      <c r="AT6" s="79" t="s">
        <v>518</v>
      </c>
      <c r="AU6" s="82">
        <v>6</v>
      </c>
      <c r="AV6" s="82">
        <v>5</v>
      </c>
      <c r="AW6" s="82">
        <v>4.5</v>
      </c>
      <c r="AX6" s="82">
        <v>4</v>
      </c>
      <c r="AY6" s="82">
        <v>3.75</v>
      </c>
      <c r="AZ6" s="82">
        <v>3</v>
      </c>
      <c r="BA6" s="83" t="s">
        <v>622</v>
      </c>
      <c r="BC6" s="583">
        <v>0.25</v>
      </c>
      <c r="BD6" s="111" t="s">
        <v>505</v>
      </c>
      <c r="BF6" s="583">
        <v>0.25</v>
      </c>
      <c r="BG6" s="111" t="s">
        <v>505</v>
      </c>
      <c r="BI6" s="583">
        <v>0.25</v>
      </c>
      <c r="BJ6" s="111" t="s">
        <v>505</v>
      </c>
      <c r="BL6" s="583">
        <v>0.25</v>
      </c>
      <c r="BM6" s="111" t="s">
        <v>505</v>
      </c>
      <c r="BO6" s="583">
        <v>0.25</v>
      </c>
      <c r="BP6" s="111" t="s">
        <v>505</v>
      </c>
      <c r="BR6" t="s">
        <v>775</v>
      </c>
    </row>
    <row r="7" spans="1:73" s="51" customFormat="1" ht="32.1" customHeight="1" x14ac:dyDescent="0.2">
      <c r="A7" s="89" t="s">
        <v>664</v>
      </c>
      <c r="B7" s="90" t="s">
        <v>748</v>
      </c>
      <c r="C7" s="108">
        <v>6.8000000000000005E-2</v>
      </c>
      <c r="D7" s="242"/>
      <c r="E7" s="242"/>
      <c r="F7" s="242"/>
      <c r="G7" s="243"/>
      <c r="H7" s="243"/>
      <c r="I7" s="244"/>
      <c r="J7" s="244"/>
      <c r="K7" s="244"/>
      <c r="L7" s="244"/>
      <c r="M7" s="244"/>
      <c r="N7" s="244"/>
      <c r="O7" s="244"/>
      <c r="P7" s="244"/>
      <c r="Q7" s="244"/>
      <c r="R7" s="244"/>
      <c r="S7" s="244"/>
      <c r="T7" s="244"/>
      <c r="U7" s="244"/>
      <c r="V7" s="244"/>
      <c r="W7" s="244"/>
      <c r="X7" s="244"/>
      <c r="Y7" s="244"/>
      <c r="Z7" s="244"/>
      <c r="AA7" s="244"/>
      <c r="AB7" s="244"/>
      <c r="AC7" s="246"/>
      <c r="AD7" s="244"/>
      <c r="AE7" s="244"/>
      <c r="AF7" s="244"/>
      <c r="AG7" s="244"/>
      <c r="AH7" s="244"/>
      <c r="AI7" s="244"/>
      <c r="AJ7" s="244"/>
      <c r="AK7" s="244"/>
      <c r="AL7" s="244"/>
      <c r="AM7" s="244"/>
      <c r="AN7" s="244"/>
      <c r="AO7" s="244"/>
      <c r="AP7" s="244"/>
      <c r="AQ7" s="244"/>
      <c r="AR7" s="244"/>
      <c r="AS7" s="62"/>
      <c r="AT7" s="79" t="s">
        <v>392</v>
      </c>
      <c r="AU7" s="59">
        <v>12</v>
      </c>
      <c r="AV7" s="59">
        <v>9</v>
      </c>
      <c r="AW7" s="59">
        <v>7.5</v>
      </c>
      <c r="AX7" s="59">
        <v>4.5</v>
      </c>
      <c r="AY7" s="59">
        <v>3.75</v>
      </c>
      <c r="AZ7" s="59">
        <v>3</v>
      </c>
      <c r="BA7" s="60" t="s">
        <v>623</v>
      </c>
      <c r="BC7" s="584">
        <f>IF(OR(PrecipOff="Precipitation zone 1",PrecipRet="Precipitation zone 1",PrecipInd="Precipitation zone 1",PrecipEdu="Precipitation zone 1"),0.4,0.35)</f>
        <v>0.35</v>
      </c>
      <c r="BD7" s="111" t="s">
        <v>506</v>
      </c>
      <c r="BF7" s="584">
        <f>IF(PrecipEdu="Precipitation zone 1",0.4,0.35)</f>
        <v>0.35</v>
      </c>
      <c r="BG7" s="111" t="s">
        <v>506</v>
      </c>
      <c r="BI7" s="584">
        <f>IF(PrecipInd="Precipitation zone 1",0.4,0.35)</f>
        <v>0.35</v>
      </c>
      <c r="BJ7" s="111" t="s">
        <v>506</v>
      </c>
      <c r="BL7" s="584">
        <f>IF(PrecipRet="Precipitation zone 1",0.4,0.35)</f>
        <v>0.35</v>
      </c>
      <c r="BM7" s="111" t="s">
        <v>506</v>
      </c>
      <c r="BO7" s="584">
        <f>IF(PrecipOff="Precipitation zone 1",0.4,0.35)</f>
        <v>0.35</v>
      </c>
      <c r="BP7" s="111" t="s">
        <v>506</v>
      </c>
      <c r="BR7" t="s">
        <v>776</v>
      </c>
    </row>
    <row r="8" spans="1:73" s="51" customFormat="1" ht="32.1" customHeight="1" x14ac:dyDescent="0.2">
      <c r="A8" s="89" t="s">
        <v>665</v>
      </c>
      <c r="B8" s="90" t="s">
        <v>642</v>
      </c>
      <c r="C8" s="109">
        <v>0</v>
      </c>
      <c r="D8" s="242"/>
      <c r="E8" s="242"/>
      <c r="F8" s="242"/>
      <c r="G8" s="243"/>
      <c r="H8" s="243"/>
      <c r="I8" s="244"/>
      <c r="J8" s="244"/>
      <c r="K8" s="244"/>
      <c r="L8" s="244"/>
      <c r="M8" s="244"/>
      <c r="N8" s="248">
        <v>0.154</v>
      </c>
      <c r="O8" s="244"/>
      <c r="P8" s="244"/>
      <c r="Q8" s="244"/>
      <c r="R8" s="244"/>
      <c r="S8" s="244"/>
      <c r="T8" s="244"/>
      <c r="U8" s="244"/>
      <c r="V8" s="244"/>
      <c r="W8" s="244"/>
      <c r="X8" s="245">
        <v>0.05</v>
      </c>
      <c r="Y8" s="244"/>
      <c r="Z8" s="244"/>
      <c r="AA8" s="244"/>
      <c r="AB8" s="244"/>
      <c r="AC8" s="246"/>
      <c r="AD8" s="244"/>
      <c r="AE8" s="244"/>
      <c r="AF8" s="244"/>
      <c r="AG8" s="244"/>
      <c r="AH8" s="244"/>
      <c r="AI8" s="244"/>
      <c r="AJ8" s="244"/>
      <c r="AK8" s="244"/>
      <c r="AL8" s="244"/>
      <c r="AM8" s="244"/>
      <c r="AN8" s="244"/>
      <c r="AO8" s="244"/>
      <c r="AP8" s="244"/>
      <c r="AQ8" s="244"/>
      <c r="AR8" s="244"/>
      <c r="AS8" s="62"/>
      <c r="AT8" s="80" t="s">
        <v>397</v>
      </c>
      <c r="AU8" s="63">
        <v>14</v>
      </c>
      <c r="AV8" s="59">
        <v>10</v>
      </c>
      <c r="AW8" s="59">
        <v>8</v>
      </c>
      <c r="AX8" s="59">
        <v>6</v>
      </c>
      <c r="AY8" s="59">
        <v>4</v>
      </c>
      <c r="AZ8" s="59">
        <v>3.5</v>
      </c>
      <c r="BA8" s="60" t="s">
        <v>623</v>
      </c>
      <c r="BC8" s="583">
        <f>IF(OR(PrecipOff="Precipitation zone 2",PrecipRet="Precipitation zone 2",PrecipInd="Precipitation zone 2",PrecipEdu="Precipitation zone 2"),0.45,IF(OR(PrecipOff="Precipitation zone 3",PrecipRet="Precipitation zone 3",PrecipInd="Precipitation zone 3",PrecipEdu="Precipitation zone 3"),0.4,0.5))</f>
        <v>0.5</v>
      </c>
      <c r="BD8" s="111" t="s">
        <v>507</v>
      </c>
      <c r="BF8" s="583">
        <f>IF(PrecipEdu="Precipitation zone 2",0.45,IF(PrecipEdu="Precipitation zone 3",0.4,0.5))</f>
        <v>0.5</v>
      </c>
      <c r="BG8" s="111" t="s">
        <v>507</v>
      </c>
      <c r="BI8" s="583">
        <f>IF(PrecipInd="Precipitation zone 2",0.45,IF(PrecipInd="Precipitation zone 3",0.4,0.5))</f>
        <v>0.5</v>
      </c>
      <c r="BJ8" s="111" t="s">
        <v>507</v>
      </c>
      <c r="BL8" s="583">
        <f>IF(PrecipRet="Precipitation zone 2",0.45,IF(PrecipRet="Precipitation zone 3",0.4,0.5))</f>
        <v>0.5</v>
      </c>
      <c r="BM8" s="111" t="s">
        <v>507</v>
      </c>
      <c r="BO8" s="583">
        <f>IF(PrecipOff="Precipitation zone 2",0.45,IF(PrecipOff="Precipitation zone 3",0.4,0.5))</f>
        <v>0.5</v>
      </c>
      <c r="BP8" s="111" t="s">
        <v>507</v>
      </c>
      <c r="BR8" t="s">
        <v>777</v>
      </c>
    </row>
    <row r="9" spans="1:73" ht="32.1" customHeight="1" x14ac:dyDescent="0.2">
      <c r="A9" s="236" t="s">
        <v>644</v>
      </c>
      <c r="B9" s="237" t="s">
        <v>985</v>
      </c>
      <c r="C9" s="238" t="s">
        <v>521</v>
      </c>
      <c r="D9" s="238">
        <v>365</v>
      </c>
      <c r="E9" s="238">
        <v>24</v>
      </c>
      <c r="F9" s="238" t="s">
        <v>160</v>
      </c>
      <c r="G9" s="239">
        <v>0.5</v>
      </c>
      <c r="H9" s="239">
        <v>0.5</v>
      </c>
      <c r="I9" s="240">
        <v>1</v>
      </c>
      <c r="J9" s="240">
        <v>4</v>
      </c>
      <c r="K9" s="240">
        <v>4</v>
      </c>
      <c r="L9" s="240">
        <v>3</v>
      </c>
      <c r="M9" s="240">
        <v>4</v>
      </c>
      <c r="N9" s="240">
        <v>0.03</v>
      </c>
      <c r="O9" s="240" t="s">
        <v>280</v>
      </c>
      <c r="P9" s="240" t="s">
        <v>280</v>
      </c>
      <c r="Q9" s="240" t="s">
        <v>280</v>
      </c>
      <c r="R9" s="240" t="s">
        <v>521</v>
      </c>
      <c r="S9" s="240" t="s">
        <v>521</v>
      </c>
      <c r="T9" s="240" t="s">
        <v>521</v>
      </c>
      <c r="U9" s="240" t="s">
        <v>521</v>
      </c>
      <c r="V9" s="240" t="s">
        <v>280</v>
      </c>
      <c r="W9" s="240" t="s">
        <v>521</v>
      </c>
      <c r="X9" s="240">
        <v>1.58</v>
      </c>
      <c r="Y9" s="240" t="s">
        <v>521</v>
      </c>
      <c r="Z9" s="240" t="s">
        <v>521</v>
      </c>
      <c r="AA9" s="240">
        <v>1</v>
      </c>
      <c r="AB9" s="240">
        <v>1</v>
      </c>
      <c r="AC9" s="241">
        <v>0.25</v>
      </c>
      <c r="AD9" s="240">
        <v>5.6</v>
      </c>
      <c r="AE9" s="240">
        <v>4.37</v>
      </c>
      <c r="AF9" s="240">
        <v>1</v>
      </c>
      <c r="AG9" s="240">
        <v>1</v>
      </c>
      <c r="AH9" s="240" t="s">
        <v>521</v>
      </c>
      <c r="AI9" s="240" t="s">
        <v>521</v>
      </c>
      <c r="AJ9" s="240" t="s">
        <v>521</v>
      </c>
      <c r="AK9" s="240" t="s">
        <v>521</v>
      </c>
      <c r="AL9" s="240" t="s">
        <v>521</v>
      </c>
      <c r="AM9" s="240" t="s">
        <v>521</v>
      </c>
      <c r="AN9" s="240">
        <v>1</v>
      </c>
      <c r="AO9" s="240" t="s">
        <v>521</v>
      </c>
      <c r="AP9" s="240" t="s">
        <v>521</v>
      </c>
      <c r="AQ9" s="239">
        <v>0.4</v>
      </c>
      <c r="AR9" s="241">
        <v>0.67700000000000005</v>
      </c>
      <c r="AS9" s="25"/>
      <c r="AT9" s="80" t="s">
        <v>624</v>
      </c>
      <c r="AU9" s="63">
        <v>200</v>
      </c>
      <c r="AV9" s="59">
        <v>180</v>
      </c>
      <c r="AW9" s="59">
        <v>160</v>
      </c>
      <c r="AX9" s="59">
        <v>140</v>
      </c>
      <c r="AY9" s="86">
        <v>120</v>
      </c>
      <c r="AZ9" s="59">
        <v>100</v>
      </c>
      <c r="BA9" s="60" t="s">
        <v>625</v>
      </c>
      <c r="BC9" s="583">
        <f>IF(OR(PrecipOff="Precipitation zone 3",PrecipRet="Precipitation zone 3",PrecipInd="Precipitation zone 3",PrecipEdu="Precipitation zone 3"),0.5,0.55)</f>
        <v>0.55000000000000004</v>
      </c>
      <c r="BD9" s="111" t="s">
        <v>508</v>
      </c>
      <c r="BF9" s="583">
        <f>IF(PrecipEdu="Precipitation zone 3",0.5,0.55)</f>
        <v>0.55000000000000004</v>
      </c>
      <c r="BG9" s="111" t="s">
        <v>508</v>
      </c>
      <c r="BI9" s="583">
        <f>IF(PrecipInd="Precipitation zone 3",0.5,0.55)</f>
        <v>0.55000000000000004</v>
      </c>
      <c r="BJ9" s="111" t="s">
        <v>508</v>
      </c>
      <c r="BL9" s="583">
        <f>IF(PrecipRet="Precipitation zone 3",0.5,0.55)</f>
        <v>0.55000000000000004</v>
      </c>
      <c r="BM9" s="111" t="s">
        <v>508</v>
      </c>
      <c r="BO9" s="583">
        <f>IF(PrecipOff="Precipitation zone 3",0.5,0.55)</f>
        <v>0.55000000000000004</v>
      </c>
      <c r="BP9" s="111" t="s">
        <v>508</v>
      </c>
      <c r="BR9" t="s">
        <v>778</v>
      </c>
    </row>
    <row r="10" spans="1:73" s="91" customFormat="1" ht="32.1" customHeight="1" x14ac:dyDescent="0.2">
      <c r="A10" s="236" t="s">
        <v>666</v>
      </c>
      <c r="B10" s="237" t="s">
        <v>985</v>
      </c>
      <c r="C10" s="238" t="s">
        <v>521</v>
      </c>
      <c r="D10" s="238">
        <v>253</v>
      </c>
      <c r="E10" s="238">
        <v>10</v>
      </c>
      <c r="F10" s="238" t="s">
        <v>160</v>
      </c>
      <c r="G10" s="239">
        <v>0.5</v>
      </c>
      <c r="H10" s="239">
        <v>0.5</v>
      </c>
      <c r="I10" s="240">
        <v>1</v>
      </c>
      <c r="J10" s="240">
        <v>4</v>
      </c>
      <c r="K10" s="240">
        <v>4</v>
      </c>
      <c r="L10" s="240">
        <v>3</v>
      </c>
      <c r="M10" s="240">
        <v>4</v>
      </c>
      <c r="N10" s="240">
        <v>0.03</v>
      </c>
      <c r="O10" s="240" t="s">
        <v>280</v>
      </c>
      <c r="P10" s="240" t="s">
        <v>280</v>
      </c>
      <c r="Q10" s="240" t="s">
        <v>280</v>
      </c>
      <c r="R10" s="240" t="s">
        <v>521</v>
      </c>
      <c r="S10" s="240" t="s">
        <v>521</v>
      </c>
      <c r="T10" s="240" t="s">
        <v>521</v>
      </c>
      <c r="U10" s="240" t="s">
        <v>521</v>
      </c>
      <c r="V10" s="240" t="s">
        <v>280</v>
      </c>
      <c r="W10" s="240" t="s">
        <v>521</v>
      </c>
      <c r="X10" s="240">
        <v>1.58</v>
      </c>
      <c r="Y10" s="240" t="s">
        <v>521</v>
      </c>
      <c r="Z10" s="240" t="s">
        <v>521</v>
      </c>
      <c r="AA10" s="240">
        <v>1</v>
      </c>
      <c r="AB10" s="240">
        <v>1</v>
      </c>
      <c r="AC10" s="241">
        <v>0.25</v>
      </c>
      <c r="AD10" s="240">
        <v>5.6</v>
      </c>
      <c r="AE10" s="240">
        <v>4.37</v>
      </c>
      <c r="AF10" s="240">
        <v>1</v>
      </c>
      <c r="AG10" s="240">
        <v>1</v>
      </c>
      <c r="AH10" s="240" t="s">
        <v>521</v>
      </c>
      <c r="AI10" s="240" t="s">
        <v>521</v>
      </c>
      <c r="AJ10" s="240" t="s">
        <v>521</v>
      </c>
      <c r="AK10" s="240" t="s">
        <v>521</v>
      </c>
      <c r="AL10" s="240" t="s">
        <v>521</v>
      </c>
      <c r="AM10" s="240" t="s">
        <v>521</v>
      </c>
      <c r="AN10" s="240">
        <v>1</v>
      </c>
      <c r="AO10" s="240" t="s">
        <v>521</v>
      </c>
      <c r="AP10" s="240" t="s">
        <v>521</v>
      </c>
      <c r="AQ10" s="239">
        <v>0.4</v>
      </c>
      <c r="AR10" s="241">
        <v>0.67700000000000005</v>
      </c>
      <c r="AS10" s="92"/>
      <c r="AT10" s="338" t="s">
        <v>753</v>
      </c>
      <c r="AU10" s="93">
        <v>7.5</v>
      </c>
      <c r="AV10" s="93">
        <v>6</v>
      </c>
      <c r="AW10" s="94">
        <v>3</v>
      </c>
      <c r="AX10" s="94">
        <v>1.5</v>
      </c>
      <c r="AY10" s="94">
        <v>0.75</v>
      </c>
      <c r="AZ10" s="93">
        <v>0</v>
      </c>
      <c r="BA10" s="84" t="s">
        <v>532</v>
      </c>
      <c r="BC10" s="583">
        <f>IF(OR(PrecipOff="Precipitation zone 3",PrecipRet="Precipitation zone 3",PrecipInd="Precipitation zone 3",PrecipEdu="Precipitation zone 3"),0.6,0.65)</f>
        <v>0.65</v>
      </c>
      <c r="BD10" s="111" t="s">
        <v>33</v>
      </c>
      <c r="BF10" s="583">
        <f>IF(PrecipEdu="Precipitation zone 3",0.6,0.65)</f>
        <v>0.65</v>
      </c>
      <c r="BG10" s="111" t="s">
        <v>33</v>
      </c>
      <c r="BI10" s="583">
        <f>IF(PrecipInd="Precipitation zone 3",0.6,0.65)</f>
        <v>0.65</v>
      </c>
      <c r="BJ10" s="111" t="s">
        <v>33</v>
      </c>
      <c r="BL10" s="583">
        <f>IF(PrecipRet="Precipitation zone 3",0.6,0.65)</f>
        <v>0.65</v>
      </c>
      <c r="BM10" s="111" t="s">
        <v>33</v>
      </c>
      <c r="BO10" s="583">
        <f>IF(PrecipOff="Precipitation zone 3",0.6,0.65)</f>
        <v>0.65</v>
      </c>
      <c r="BP10" s="111" t="s">
        <v>33</v>
      </c>
      <c r="BR10" t="s">
        <v>779</v>
      </c>
      <c r="BU10" s="95"/>
    </row>
    <row r="11" spans="1:73" s="91" customFormat="1" ht="32.1" customHeight="1" x14ac:dyDescent="0.2">
      <c r="A11" s="106" t="s">
        <v>986</v>
      </c>
      <c r="B11" s="90" t="s">
        <v>667</v>
      </c>
      <c r="C11" s="107">
        <v>2.24E-2</v>
      </c>
      <c r="D11" s="249"/>
      <c r="E11" s="249"/>
      <c r="F11" s="249"/>
      <c r="G11" s="250"/>
      <c r="H11" s="250"/>
      <c r="I11" s="251"/>
      <c r="J11" s="251"/>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1"/>
      <c r="AH11" s="251"/>
      <c r="AI11" s="251"/>
      <c r="AJ11" s="251"/>
      <c r="AK11" s="251"/>
      <c r="AL11" s="251"/>
      <c r="AM11" s="251"/>
      <c r="AN11" s="251"/>
      <c r="AO11" s="251"/>
      <c r="AP11" s="251"/>
      <c r="AQ11" s="251"/>
      <c r="AR11" s="251"/>
      <c r="AS11" s="92"/>
      <c r="AT11" s="338" t="s">
        <v>754</v>
      </c>
      <c r="AU11" s="93">
        <v>10</v>
      </c>
      <c r="AV11" s="93">
        <v>8</v>
      </c>
      <c r="AW11" s="93">
        <v>4</v>
      </c>
      <c r="AX11" s="93">
        <v>2</v>
      </c>
      <c r="AY11" s="93">
        <v>1</v>
      </c>
      <c r="AZ11" s="93">
        <v>0</v>
      </c>
      <c r="BA11" s="84" t="s">
        <v>532</v>
      </c>
      <c r="BC11" s="583">
        <f>IF(OR(PrecipOff="Precipitation zone 3",PrecipRet="Precipitation zone 3",PrecipInd="Precipitation zone 3",PrecipEdu="Precipitation zone 3"),0.5,0.55)</f>
        <v>0.55000000000000004</v>
      </c>
      <c r="BD11" s="111" t="s">
        <v>508</v>
      </c>
      <c r="BF11" s="583">
        <f>IF(PrecipEdu="Precipitation zone 3",0.5,0.55)</f>
        <v>0.55000000000000004</v>
      </c>
      <c r="BG11" s="111" t="s">
        <v>508</v>
      </c>
      <c r="BI11" s="583">
        <f>IF(PrecipInd="Precipitation zone 3",0.5,0.55)</f>
        <v>0.55000000000000004</v>
      </c>
      <c r="BJ11" s="111" t="s">
        <v>508</v>
      </c>
      <c r="BL11" s="583">
        <f>IF(PrecipRet="Precipitation zone 3",0.5,0.55)</f>
        <v>0.55000000000000004</v>
      </c>
      <c r="BM11" s="111" t="s">
        <v>508</v>
      </c>
      <c r="BO11" s="583">
        <f>IF(PrecipOff="Precipitation zone 3",0.5,0.55)</f>
        <v>0.55000000000000004</v>
      </c>
      <c r="BP11" s="111" t="s">
        <v>508</v>
      </c>
      <c r="BR11" t="s">
        <v>780</v>
      </c>
      <c r="BU11" s="95"/>
    </row>
    <row r="12" spans="1:73" s="91" customFormat="1" ht="38.25" customHeight="1" x14ac:dyDescent="0.2">
      <c r="A12" s="106" t="s">
        <v>668</v>
      </c>
      <c r="B12" s="90" t="s">
        <v>749</v>
      </c>
      <c r="C12" s="107">
        <v>0.1069</v>
      </c>
      <c r="D12" s="249"/>
      <c r="E12" s="249"/>
      <c r="F12" s="249"/>
      <c r="G12" s="250"/>
      <c r="H12" s="250"/>
      <c r="I12" s="251"/>
      <c r="J12" s="251"/>
      <c r="K12" s="251"/>
      <c r="L12" s="251"/>
      <c r="M12" s="251"/>
      <c r="N12" s="251"/>
      <c r="O12" s="251"/>
      <c r="P12" s="251"/>
      <c r="Q12" s="251"/>
      <c r="R12" s="251"/>
      <c r="S12" s="251"/>
      <c r="T12" s="251"/>
      <c r="U12" s="251"/>
      <c r="V12" s="251"/>
      <c r="W12" s="251"/>
      <c r="X12" s="251"/>
      <c r="Y12" s="251"/>
      <c r="Z12" s="251"/>
      <c r="AA12" s="251"/>
      <c r="AB12" s="251"/>
      <c r="AC12" s="251"/>
      <c r="AD12" s="251"/>
      <c r="AE12" s="251"/>
      <c r="AF12" s="251"/>
      <c r="AG12" s="251"/>
      <c r="AH12" s="251"/>
      <c r="AI12" s="251"/>
      <c r="AJ12" s="251"/>
      <c r="AK12" s="251"/>
      <c r="AL12" s="251"/>
      <c r="AM12" s="251"/>
      <c r="AN12" s="251"/>
      <c r="AO12" s="251"/>
      <c r="AP12" s="251"/>
      <c r="AQ12" s="251"/>
      <c r="AR12" s="251"/>
      <c r="AS12" s="92"/>
      <c r="AT12" s="338" t="s">
        <v>756</v>
      </c>
      <c r="AU12" s="108">
        <v>1.5</v>
      </c>
      <c r="AV12" s="108" t="s">
        <v>521</v>
      </c>
      <c r="AW12" s="108" t="s">
        <v>521</v>
      </c>
      <c r="AX12" s="108" t="s">
        <v>521</v>
      </c>
      <c r="AY12" s="108" t="s">
        <v>521</v>
      </c>
      <c r="AZ12" s="108" t="s">
        <v>521</v>
      </c>
      <c r="BA12" s="339" t="s">
        <v>755</v>
      </c>
      <c r="BO12" s="57"/>
      <c r="BP12" s="53"/>
      <c r="BR12" t="s">
        <v>781</v>
      </c>
      <c r="BU12" s="95"/>
    </row>
    <row r="13" spans="1:73" s="91" customFormat="1" ht="32.1" customHeight="1" x14ac:dyDescent="0.2">
      <c r="A13" s="106" t="s">
        <v>669</v>
      </c>
      <c r="B13" s="106" t="s">
        <v>643</v>
      </c>
      <c r="C13" s="107">
        <v>1.0800000000000001E-2</v>
      </c>
      <c r="D13" s="249"/>
      <c r="E13" s="249"/>
      <c r="F13" s="249"/>
      <c r="G13" s="250"/>
      <c r="H13" s="250"/>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251"/>
      <c r="AL13" s="251"/>
      <c r="AM13" s="251"/>
      <c r="AN13" s="251"/>
      <c r="AO13" s="251"/>
      <c r="AP13" s="251"/>
      <c r="AQ13" s="251"/>
      <c r="AR13" s="251"/>
      <c r="AS13" s="92"/>
      <c r="AT13" s="80" t="s">
        <v>509</v>
      </c>
      <c r="AU13" s="96">
        <v>0</v>
      </c>
      <c r="AV13" s="96">
        <v>0</v>
      </c>
      <c r="AW13" s="96">
        <v>0</v>
      </c>
      <c r="AX13" s="96">
        <v>0.25</v>
      </c>
      <c r="AY13" s="97">
        <v>0.5</v>
      </c>
      <c r="AZ13" s="97">
        <v>0.75</v>
      </c>
      <c r="BA13" s="84" t="s">
        <v>631</v>
      </c>
      <c r="BO13" s="52"/>
      <c r="BP13" s="52"/>
      <c r="BR13" t="s">
        <v>782</v>
      </c>
      <c r="BU13" s="95"/>
    </row>
    <row r="14" spans="1:73" s="91" customFormat="1" ht="32.1" customHeight="1" x14ac:dyDescent="0.2">
      <c r="A14" s="90" t="s">
        <v>670</v>
      </c>
      <c r="B14" s="90" t="s">
        <v>663</v>
      </c>
      <c r="C14" s="107">
        <v>9.9400000000000002E-2</v>
      </c>
      <c r="D14" s="249"/>
      <c r="E14" s="249"/>
      <c r="F14" s="249"/>
      <c r="G14" s="250"/>
      <c r="H14" s="250"/>
      <c r="I14" s="251"/>
      <c r="J14" s="251"/>
      <c r="K14" s="251"/>
      <c r="L14" s="251"/>
      <c r="M14" s="251"/>
      <c r="N14" s="251"/>
      <c r="O14" s="251"/>
      <c r="P14" s="251"/>
      <c r="Q14" s="251"/>
      <c r="R14" s="245">
        <v>1</v>
      </c>
      <c r="S14" s="251"/>
      <c r="T14" s="251"/>
      <c r="U14" s="245">
        <v>0.04</v>
      </c>
      <c r="V14" s="252"/>
      <c r="W14" s="251"/>
      <c r="X14" s="251"/>
      <c r="Y14" s="251"/>
      <c r="Z14" s="251"/>
      <c r="AA14" s="251"/>
      <c r="AB14" s="251"/>
      <c r="AC14" s="251"/>
      <c r="AD14" s="251"/>
      <c r="AE14" s="251"/>
      <c r="AF14" s="251"/>
      <c r="AG14" s="251"/>
      <c r="AH14" s="245">
        <v>0.67</v>
      </c>
      <c r="AI14" s="251"/>
      <c r="AJ14" s="251"/>
      <c r="AK14" s="245">
        <v>1</v>
      </c>
      <c r="AL14" s="245" t="s">
        <v>280</v>
      </c>
      <c r="AM14" s="251"/>
      <c r="AN14" s="251"/>
      <c r="AO14" s="251"/>
      <c r="AP14" s="251"/>
      <c r="AQ14" s="251"/>
      <c r="AR14" s="251"/>
      <c r="AS14" s="92"/>
      <c r="AT14" s="79" t="s">
        <v>94</v>
      </c>
      <c r="AU14" s="94">
        <v>12</v>
      </c>
      <c r="AV14" s="93">
        <v>10</v>
      </c>
      <c r="AW14" s="93">
        <v>7.5</v>
      </c>
      <c r="AX14" s="93">
        <v>5</v>
      </c>
      <c r="AY14" s="93">
        <v>5</v>
      </c>
      <c r="AZ14" s="93">
        <v>5</v>
      </c>
      <c r="BA14" s="84" t="s">
        <v>623</v>
      </c>
      <c r="BO14" s="52"/>
      <c r="BP14" s="52"/>
      <c r="BR14" s="14" t="s">
        <v>848</v>
      </c>
      <c r="BU14" s="95"/>
    </row>
    <row r="15" spans="1:73" s="91" customFormat="1" ht="40.5" customHeight="1" x14ac:dyDescent="0.2">
      <c r="A15" s="90" t="s">
        <v>802</v>
      </c>
      <c r="B15" s="90" t="s">
        <v>652</v>
      </c>
      <c r="C15" s="108">
        <f>0.0402</f>
        <v>4.02E-2</v>
      </c>
      <c r="D15" s="249"/>
      <c r="E15" s="249"/>
      <c r="F15" s="249"/>
      <c r="G15" s="250"/>
      <c r="H15" s="250"/>
      <c r="I15" s="251"/>
      <c r="J15" s="251"/>
      <c r="K15" s="251"/>
      <c r="L15" s="251"/>
      <c r="M15" s="251"/>
      <c r="N15" s="251"/>
      <c r="O15" s="251"/>
      <c r="P15" s="251"/>
      <c r="Q15" s="251"/>
      <c r="R15" s="251"/>
      <c r="S15" s="245" t="s">
        <v>101</v>
      </c>
      <c r="T15" s="251"/>
      <c r="U15" s="245" t="s">
        <v>101</v>
      </c>
      <c r="V15" s="244" t="s">
        <v>280</v>
      </c>
      <c r="W15" s="245" t="s">
        <v>101</v>
      </c>
      <c r="X15" s="251"/>
      <c r="Y15" s="245" t="str">
        <f>IF(AND('Industrial calculator'!F20='Industrial calculator'!Q130,Ind_act='Industrial calculator'!R135,'Industrial calculator'!G22='Industrial calculator'!Q130),'Industrial calculator'!G20*'Industrial calculator'!G14*0.804*2.674,IF('Industrial calculator'!F20="yes",'Industrial calculator'!G20*0.804*2.674,"see note"))</f>
        <v>see note</v>
      </c>
      <c r="Z15" s="245" t="str">
        <f>IF('Industrial calculator'!F20="yes",'Industrial calculator'!G20*6.314*0.804,"See note")</f>
        <v>See note</v>
      </c>
      <c r="AA15" s="251"/>
      <c r="AB15" s="251"/>
      <c r="AC15" s="251"/>
      <c r="AD15" s="251"/>
      <c r="AE15" s="251"/>
      <c r="AF15" s="251"/>
      <c r="AG15" s="251"/>
      <c r="AH15" s="251"/>
      <c r="AI15" s="245">
        <v>60</v>
      </c>
      <c r="AJ15" s="251"/>
      <c r="AK15" s="247">
        <v>0.20100000000000001</v>
      </c>
      <c r="AL15" s="245" t="s">
        <v>280</v>
      </c>
      <c r="AM15" s="245">
        <v>30</v>
      </c>
      <c r="AN15" s="251"/>
      <c r="AO15" s="245">
        <v>1</v>
      </c>
      <c r="AP15" s="245">
        <v>1</v>
      </c>
      <c r="AQ15" s="251"/>
      <c r="AR15" s="251"/>
      <c r="AS15" s="92"/>
      <c r="AT15" s="79" t="s">
        <v>98</v>
      </c>
      <c r="AU15" s="93">
        <v>10.3</v>
      </c>
      <c r="AV15" s="93">
        <v>9.3000000000000007</v>
      </c>
      <c r="AW15" s="93">
        <v>8.3000000000000007</v>
      </c>
      <c r="AX15" s="93">
        <v>7.3</v>
      </c>
      <c r="AY15" s="93">
        <v>6.3</v>
      </c>
      <c r="AZ15" s="93">
        <v>6</v>
      </c>
      <c r="BA15" s="84" t="s">
        <v>623</v>
      </c>
      <c r="BO15" s="52"/>
      <c r="BP15" s="53"/>
      <c r="BR15" t="s">
        <v>783</v>
      </c>
      <c r="BU15" s="95"/>
    </row>
    <row r="16" spans="1:73" s="91" customFormat="1" ht="32.1" customHeight="1" x14ac:dyDescent="0.2">
      <c r="A16" s="89" t="s">
        <v>671</v>
      </c>
      <c r="B16" s="90" t="s">
        <v>642</v>
      </c>
      <c r="C16" s="109">
        <v>0</v>
      </c>
      <c r="D16" s="249"/>
      <c r="E16" s="249"/>
      <c r="F16" s="249"/>
      <c r="G16" s="250"/>
      <c r="H16" s="250"/>
      <c r="I16" s="251"/>
      <c r="J16" s="251"/>
      <c r="K16" s="251"/>
      <c r="L16" s="251"/>
      <c r="M16" s="251"/>
      <c r="N16" s="248">
        <v>0.154</v>
      </c>
      <c r="O16" s="251"/>
      <c r="P16" s="251"/>
      <c r="Q16" s="251"/>
      <c r="R16" s="251"/>
      <c r="S16" s="251"/>
      <c r="T16" s="251"/>
      <c r="U16" s="251"/>
      <c r="V16" s="251"/>
      <c r="W16" s="251"/>
      <c r="X16" s="245">
        <v>0.05</v>
      </c>
      <c r="Y16" s="251"/>
      <c r="Z16" s="251"/>
      <c r="AA16" s="251"/>
      <c r="AB16" s="251"/>
      <c r="AC16" s="251"/>
      <c r="AD16" s="251"/>
      <c r="AE16" s="251"/>
      <c r="AF16" s="251"/>
      <c r="AG16" s="251"/>
      <c r="AH16" s="251"/>
      <c r="AI16" s="251"/>
      <c r="AJ16" s="251"/>
      <c r="AK16" s="251"/>
      <c r="AL16" s="251"/>
      <c r="AM16" s="251"/>
      <c r="AN16" s="251"/>
      <c r="AO16" s="251"/>
      <c r="AP16" s="251"/>
      <c r="AQ16" s="251"/>
      <c r="AR16" s="251"/>
      <c r="AS16" s="92"/>
      <c r="AT16" s="80" t="s">
        <v>634</v>
      </c>
      <c r="AU16" s="94">
        <v>17</v>
      </c>
      <c r="AV16" s="93">
        <v>13</v>
      </c>
      <c r="AW16" s="93">
        <v>13</v>
      </c>
      <c r="AX16" s="93">
        <v>12</v>
      </c>
      <c r="AY16" s="93">
        <v>11</v>
      </c>
      <c r="AZ16" s="93">
        <v>10</v>
      </c>
      <c r="BA16" s="84" t="s">
        <v>155</v>
      </c>
      <c r="BO16" s="52"/>
      <c r="BP16" s="53"/>
      <c r="BR16" t="s">
        <v>784</v>
      </c>
      <c r="BU16" s="95"/>
    </row>
    <row r="17" spans="1:73" ht="32.1" customHeight="1" x14ac:dyDescent="0.2">
      <c r="A17" s="236" t="s">
        <v>979</v>
      </c>
      <c r="B17" s="237" t="s">
        <v>980</v>
      </c>
      <c r="C17" s="238" t="s">
        <v>521</v>
      </c>
      <c r="D17" s="238">
        <v>195</v>
      </c>
      <c r="E17" s="238">
        <v>10</v>
      </c>
      <c r="F17" s="317" t="s">
        <v>743</v>
      </c>
      <c r="G17" s="239">
        <v>0.5</v>
      </c>
      <c r="H17" s="239">
        <v>0.5</v>
      </c>
      <c r="I17" s="240">
        <v>0.36</v>
      </c>
      <c r="J17" s="240">
        <v>2.1</v>
      </c>
      <c r="K17" s="240">
        <v>2.1</v>
      </c>
      <c r="L17" s="240">
        <v>1.74</v>
      </c>
      <c r="M17" s="240">
        <v>2.1</v>
      </c>
      <c r="N17" s="241">
        <f>IF('Education calculator'!F20='Education calculator'!Q131,0.4,0.0014)</f>
        <v>1.4E-3</v>
      </c>
      <c r="O17" s="240" t="s">
        <v>280</v>
      </c>
      <c r="P17" s="240" t="s">
        <v>280</v>
      </c>
      <c r="Q17" s="240" t="s">
        <v>280</v>
      </c>
      <c r="R17" s="241">
        <v>0.05</v>
      </c>
      <c r="S17" s="240" t="s">
        <v>521</v>
      </c>
      <c r="T17" s="240" t="s">
        <v>521</v>
      </c>
      <c r="U17" s="240" t="s">
        <v>521</v>
      </c>
      <c r="V17" s="240" t="s">
        <v>280</v>
      </c>
      <c r="W17" s="240" t="s">
        <v>521</v>
      </c>
      <c r="X17" s="240">
        <v>1.98</v>
      </c>
      <c r="Y17" s="240" t="s">
        <v>521</v>
      </c>
      <c r="Z17" s="240" t="s">
        <v>521</v>
      </c>
      <c r="AA17" s="240">
        <v>1</v>
      </c>
      <c r="AB17" s="240">
        <v>1</v>
      </c>
      <c r="AC17" s="241">
        <v>0.25</v>
      </c>
      <c r="AD17" s="240">
        <f>IF('Education calculator'!F20='Education calculator'!Q131,1.4,5.6)</f>
        <v>5.6</v>
      </c>
      <c r="AE17" s="240" t="s">
        <v>280</v>
      </c>
      <c r="AF17" s="240">
        <v>1</v>
      </c>
      <c r="AG17" s="240">
        <v>1</v>
      </c>
      <c r="AH17" s="240" t="s">
        <v>521</v>
      </c>
      <c r="AI17" s="240" t="s">
        <v>521</v>
      </c>
      <c r="AJ17" s="240" t="s">
        <v>521</v>
      </c>
      <c r="AK17" s="240" t="s">
        <v>521</v>
      </c>
      <c r="AL17" s="240" t="s">
        <v>521</v>
      </c>
      <c r="AM17" s="240" t="s">
        <v>521</v>
      </c>
      <c r="AN17" s="240">
        <v>1</v>
      </c>
      <c r="AO17" s="240" t="s">
        <v>521</v>
      </c>
      <c r="AP17" s="240" t="s">
        <v>521</v>
      </c>
      <c r="AQ17" s="239">
        <v>0.4</v>
      </c>
      <c r="AR17" s="241">
        <v>0.67700000000000005</v>
      </c>
      <c r="AS17" s="25"/>
      <c r="AT17" s="81" t="s">
        <v>633</v>
      </c>
      <c r="AU17" s="98">
        <v>90</v>
      </c>
      <c r="AV17" s="99">
        <v>60</v>
      </c>
      <c r="AW17" s="100">
        <v>50</v>
      </c>
      <c r="AX17" s="99">
        <v>40</v>
      </c>
      <c r="AY17" s="86">
        <v>35</v>
      </c>
      <c r="AZ17" s="86">
        <v>30</v>
      </c>
      <c r="BA17" s="101" t="s">
        <v>626</v>
      </c>
      <c r="BB17" s="25"/>
      <c r="BC17" s="25"/>
      <c r="BD17" s="25"/>
      <c r="BE17" s="25"/>
      <c r="BF17" s="25"/>
      <c r="BG17" s="25"/>
      <c r="BH17" s="25"/>
      <c r="BI17" s="25"/>
      <c r="BJ17" s="25"/>
      <c r="BK17" s="25"/>
      <c r="BL17" s="25"/>
      <c r="BM17" s="25"/>
      <c r="BN17" s="25"/>
      <c r="BR17" t="s">
        <v>785</v>
      </c>
    </row>
    <row r="18" spans="1:73" ht="32.1" customHeight="1" x14ac:dyDescent="0.2">
      <c r="A18" s="236" t="s">
        <v>978</v>
      </c>
      <c r="B18" s="237" t="s">
        <v>981</v>
      </c>
      <c r="C18" s="238" t="s">
        <v>521</v>
      </c>
      <c r="D18" s="238">
        <v>195</v>
      </c>
      <c r="E18" s="238">
        <v>10</v>
      </c>
      <c r="F18" s="317" t="s">
        <v>743</v>
      </c>
      <c r="G18" s="239">
        <v>0.5</v>
      </c>
      <c r="H18" s="239">
        <v>0.5</v>
      </c>
      <c r="I18" s="240">
        <v>0.37</v>
      </c>
      <c r="J18" s="240">
        <v>2.13</v>
      </c>
      <c r="K18" s="240">
        <v>2.1</v>
      </c>
      <c r="L18" s="240">
        <v>1.76</v>
      </c>
      <c r="M18" s="240">
        <v>2.13</v>
      </c>
      <c r="N18" s="241">
        <f>IF('Education calculator'!F20='Education calculator'!Q131,0.4,0.002)</f>
        <v>2E-3</v>
      </c>
      <c r="O18" s="240" t="s">
        <v>280</v>
      </c>
      <c r="P18" s="240" t="s">
        <v>280</v>
      </c>
      <c r="Q18" s="240" t="s">
        <v>280</v>
      </c>
      <c r="R18" s="241">
        <v>0.06</v>
      </c>
      <c r="S18" s="240" t="s">
        <v>521</v>
      </c>
      <c r="T18" s="240" t="s">
        <v>521</v>
      </c>
      <c r="U18" s="240" t="s">
        <v>521</v>
      </c>
      <c r="V18" s="240" t="s">
        <v>280</v>
      </c>
      <c r="W18" s="240" t="s">
        <v>521</v>
      </c>
      <c r="X18" s="240">
        <v>1.97</v>
      </c>
      <c r="Y18" s="240" t="s">
        <v>521</v>
      </c>
      <c r="Z18" s="240" t="s">
        <v>521</v>
      </c>
      <c r="AA18" s="240">
        <v>1</v>
      </c>
      <c r="AB18" s="240">
        <v>1</v>
      </c>
      <c r="AC18" s="241">
        <v>0.25</v>
      </c>
      <c r="AD18" s="240">
        <f>IF('Education calculator'!F20='Education calculator'!Q131,1.2,5.6)</f>
        <v>5.6</v>
      </c>
      <c r="AE18" s="240">
        <v>1.4</v>
      </c>
      <c r="AF18" s="240">
        <v>1</v>
      </c>
      <c r="AG18" s="240">
        <v>1</v>
      </c>
      <c r="AH18" s="240" t="s">
        <v>521</v>
      </c>
      <c r="AI18" s="240" t="s">
        <v>521</v>
      </c>
      <c r="AJ18" s="240" t="s">
        <v>521</v>
      </c>
      <c r="AK18" s="240" t="s">
        <v>521</v>
      </c>
      <c r="AL18" s="240" t="s">
        <v>521</v>
      </c>
      <c r="AM18" s="240" t="s">
        <v>521</v>
      </c>
      <c r="AN18" s="240">
        <v>1</v>
      </c>
      <c r="AO18" s="240" t="s">
        <v>521</v>
      </c>
      <c r="AP18" s="240" t="s">
        <v>521</v>
      </c>
      <c r="AQ18" s="239">
        <v>0.4</v>
      </c>
      <c r="AR18" s="241">
        <v>0.67700000000000005</v>
      </c>
      <c r="AS18" s="25"/>
      <c r="AT18" s="79" t="str">
        <f>W3</f>
        <v>Waste disposal unit</v>
      </c>
      <c r="AU18" s="93">
        <v>17</v>
      </c>
      <c r="AV18" s="93">
        <v>17</v>
      </c>
      <c r="AW18" s="93">
        <v>0</v>
      </c>
      <c r="AX18" s="93">
        <v>0</v>
      </c>
      <c r="AY18" s="93">
        <v>0</v>
      </c>
      <c r="AZ18" s="93">
        <v>0</v>
      </c>
      <c r="BA18" s="84" t="s">
        <v>623</v>
      </c>
      <c r="BB18" s="25"/>
      <c r="BC18" s="25"/>
      <c r="BD18" s="25"/>
      <c r="BE18" s="25"/>
      <c r="BF18" s="25"/>
      <c r="BG18" s="25"/>
      <c r="BH18" s="25"/>
      <c r="BI18" s="25"/>
      <c r="BJ18" s="25"/>
      <c r="BK18" s="25"/>
      <c r="BL18" s="25"/>
      <c r="BM18" s="25"/>
      <c r="BN18" s="25"/>
      <c r="BR18" t="s">
        <v>786</v>
      </c>
    </row>
    <row r="19" spans="1:73" ht="32.1" customHeight="1" x14ac:dyDescent="0.2">
      <c r="A19" s="236" t="s">
        <v>977</v>
      </c>
      <c r="B19" s="237" t="s">
        <v>982</v>
      </c>
      <c r="C19" s="238" t="s">
        <v>521</v>
      </c>
      <c r="D19" s="238">
        <v>195</v>
      </c>
      <c r="E19" s="238">
        <v>10</v>
      </c>
      <c r="F19" s="317" t="s">
        <v>741</v>
      </c>
      <c r="G19" s="239">
        <v>0.5</v>
      </c>
      <c r="H19" s="239">
        <v>0.5</v>
      </c>
      <c r="I19" s="240">
        <v>1</v>
      </c>
      <c r="J19" s="240">
        <v>4</v>
      </c>
      <c r="K19" s="240">
        <v>4</v>
      </c>
      <c r="L19" s="240">
        <v>3</v>
      </c>
      <c r="M19" s="240">
        <v>4</v>
      </c>
      <c r="N19" s="241">
        <f>IF('Education calculator'!F20='Education calculator'!Q131,'Activity database'!N8,'Activity database'!N4)</f>
        <v>0.03</v>
      </c>
      <c r="O19" s="240" t="s">
        <v>280</v>
      </c>
      <c r="P19" s="240" t="s">
        <v>280</v>
      </c>
      <c r="Q19" s="240" t="s">
        <v>280</v>
      </c>
      <c r="R19" s="241">
        <v>5.0999999999999997E-2</v>
      </c>
      <c r="S19" s="240" t="s">
        <v>521</v>
      </c>
      <c r="T19" s="240" t="s">
        <v>521</v>
      </c>
      <c r="U19" s="240" t="s">
        <v>521</v>
      </c>
      <c r="V19" s="240" t="s">
        <v>280</v>
      </c>
      <c r="W19" s="240" t="s">
        <v>521</v>
      </c>
      <c r="X19" s="240">
        <v>1.58</v>
      </c>
      <c r="Y19" s="240" t="s">
        <v>521</v>
      </c>
      <c r="Z19" s="240" t="s">
        <v>521</v>
      </c>
      <c r="AA19" s="240">
        <v>1</v>
      </c>
      <c r="AB19" s="240">
        <v>1</v>
      </c>
      <c r="AC19" s="241">
        <v>0.25</v>
      </c>
      <c r="AD19" s="240">
        <v>5.6</v>
      </c>
      <c r="AE19" s="240">
        <v>4.37</v>
      </c>
      <c r="AF19" s="240">
        <v>1</v>
      </c>
      <c r="AG19" s="240">
        <v>1</v>
      </c>
      <c r="AH19" s="240" t="s">
        <v>521</v>
      </c>
      <c r="AI19" s="240" t="s">
        <v>521</v>
      </c>
      <c r="AJ19" s="240" t="s">
        <v>521</v>
      </c>
      <c r="AK19" s="240" t="s">
        <v>521</v>
      </c>
      <c r="AL19" s="240" t="s">
        <v>521</v>
      </c>
      <c r="AM19" s="240" t="s">
        <v>521</v>
      </c>
      <c r="AN19" s="240">
        <v>1</v>
      </c>
      <c r="AO19" s="240" t="s">
        <v>521</v>
      </c>
      <c r="AP19" s="240" t="s">
        <v>521</v>
      </c>
      <c r="AQ19" s="239">
        <v>0.4</v>
      </c>
      <c r="AR19" s="241">
        <v>0.67700000000000005</v>
      </c>
      <c r="AS19" s="25"/>
      <c r="AT19" s="304" t="s">
        <v>636</v>
      </c>
      <c r="AU19" s="305">
        <v>8</v>
      </c>
      <c r="AV19" s="302">
        <v>7</v>
      </c>
      <c r="AW19" s="302">
        <v>6</v>
      </c>
      <c r="AX19" s="302">
        <v>5</v>
      </c>
      <c r="AY19" s="302">
        <v>4</v>
      </c>
      <c r="AZ19" s="302">
        <v>3</v>
      </c>
      <c r="BA19" s="90" t="s">
        <v>102</v>
      </c>
      <c r="BB19" s="25"/>
      <c r="BC19" s="25"/>
      <c r="BD19" s="25"/>
      <c r="BE19" s="25"/>
      <c r="BF19" s="25"/>
      <c r="BG19" s="25"/>
      <c r="BH19" s="25"/>
      <c r="BI19" s="25"/>
      <c r="BJ19" s="25"/>
      <c r="BK19" s="25"/>
      <c r="BL19" s="25"/>
      <c r="BM19" s="25"/>
      <c r="BN19" s="25"/>
      <c r="BR19" t="s">
        <v>787</v>
      </c>
    </row>
    <row r="20" spans="1:73" ht="32.1" customHeight="1" x14ac:dyDescent="0.2">
      <c r="A20" s="236" t="s">
        <v>976</v>
      </c>
      <c r="B20" s="237" t="s">
        <v>983</v>
      </c>
      <c r="C20" s="238" t="s">
        <v>521</v>
      </c>
      <c r="D20" s="238">
        <v>195</v>
      </c>
      <c r="E20" s="238">
        <v>10</v>
      </c>
      <c r="F20" s="317" t="s">
        <v>741</v>
      </c>
      <c r="G20" s="239">
        <v>0.5</v>
      </c>
      <c r="H20" s="239">
        <v>0.5</v>
      </c>
      <c r="I20" s="240">
        <v>1</v>
      </c>
      <c r="J20" s="240">
        <v>4</v>
      </c>
      <c r="K20" s="240">
        <v>4</v>
      </c>
      <c r="L20" s="240">
        <v>3</v>
      </c>
      <c r="M20" s="240">
        <v>4</v>
      </c>
      <c r="N20" s="241">
        <f>IF('Education calculator'!F20='Education calculator'!Q131,'Activity database'!N8,'Activity database'!N4)</f>
        <v>0.03</v>
      </c>
      <c r="O20" s="240" t="s">
        <v>280</v>
      </c>
      <c r="P20" s="240" t="s">
        <v>280</v>
      </c>
      <c r="Q20" s="240" t="s">
        <v>280</v>
      </c>
      <c r="R20" s="241">
        <v>6.0999999999999999E-2</v>
      </c>
      <c r="S20" s="240" t="s">
        <v>521</v>
      </c>
      <c r="T20" s="240" t="s">
        <v>521</v>
      </c>
      <c r="U20" s="240" t="s">
        <v>521</v>
      </c>
      <c r="V20" s="240" t="s">
        <v>280</v>
      </c>
      <c r="W20" s="240" t="s">
        <v>521</v>
      </c>
      <c r="X20" s="240">
        <v>1.58</v>
      </c>
      <c r="Y20" s="240" t="s">
        <v>521</v>
      </c>
      <c r="Z20" s="240" t="s">
        <v>521</v>
      </c>
      <c r="AA20" s="240">
        <v>1</v>
      </c>
      <c r="AB20" s="240">
        <v>1</v>
      </c>
      <c r="AC20" s="241">
        <v>0.25</v>
      </c>
      <c r="AD20" s="240">
        <v>5.6</v>
      </c>
      <c r="AE20" s="240">
        <v>4.37</v>
      </c>
      <c r="AF20" s="240">
        <v>1</v>
      </c>
      <c r="AG20" s="240">
        <v>1</v>
      </c>
      <c r="AH20" s="240" t="s">
        <v>521</v>
      </c>
      <c r="AI20" s="240" t="s">
        <v>521</v>
      </c>
      <c r="AJ20" s="240" t="s">
        <v>521</v>
      </c>
      <c r="AK20" s="240" t="s">
        <v>521</v>
      </c>
      <c r="AL20" s="240" t="s">
        <v>521</v>
      </c>
      <c r="AM20" s="240" t="s">
        <v>521</v>
      </c>
      <c r="AN20" s="240">
        <v>1</v>
      </c>
      <c r="AO20" s="240" t="s">
        <v>521</v>
      </c>
      <c r="AP20" s="240" t="s">
        <v>521</v>
      </c>
      <c r="AQ20" s="239">
        <v>0.4</v>
      </c>
      <c r="AR20" s="241">
        <v>0.67700000000000005</v>
      </c>
      <c r="AS20" s="25"/>
      <c r="AT20" s="304" t="s">
        <v>635</v>
      </c>
      <c r="AU20" s="305">
        <v>14</v>
      </c>
      <c r="AV20" s="302">
        <v>12</v>
      </c>
      <c r="AW20" s="302">
        <v>10</v>
      </c>
      <c r="AX20" s="302">
        <v>7.5</v>
      </c>
      <c r="AY20" s="308">
        <v>5</v>
      </c>
      <c r="AZ20" s="302">
        <v>4.5</v>
      </c>
      <c r="BA20" s="90" t="s">
        <v>632</v>
      </c>
      <c r="BO20" s="318"/>
      <c r="BP20" s="319"/>
      <c r="BR20" s="14" t="s">
        <v>788</v>
      </c>
    </row>
    <row r="21" spans="1:73" s="306" customFormat="1" ht="42" customHeight="1" x14ac:dyDescent="0.2">
      <c r="A21" s="106" t="str">
        <f>IF(OR('Education calculator'!B13='Education calculator'!R135,'Education calculator'!B13='Education calculator'!R136),"Education - Classroom areas",IF(OR('Education calculator'!B13='Education calculator'!R137,'Education calculator'!B13='Education calculator'!R138),"Education - Seminar rooms/areas","Requires building type definition in calculator"))</f>
        <v>Education - Seminar rooms/areas</v>
      </c>
      <c r="B21" s="90" t="str">
        <f>IF(OR('Education calculator'!B13='Education calculator'!R135,'Education calculator'!B13='Education calculator'!R136),"Include basic classroom areas only. Exclude halls, specialist practical classrooms, i.e. ICT, and learning resource/library areas.",IF(OR('Education calculator'!B13='Education calculator'!R137,'Education calculator'!B13='Education calculator'!R138),"Include seminar rooms/spaces and write-up rooms/spaces i.e. areas where students and lecturers gather for seminars/write-up. Exclude lecture theatres, labs, workshops and library/learning resource area."))</f>
        <v>Include seminar rooms/spaces and write-up rooms/spaces i.e. areas where students and lecturers gather for seminars/write-up. Exclude lecture theatres, labs, workshops and library/learning resource area.</v>
      </c>
      <c r="C21" s="107">
        <f>IF('Education calculator'!B13='Education calculator'!R135,0.524,IF('Education calculator'!B13='Education calculator'!R136,0.532,IF('Education calculator'!B13='Education calculator'!R137,0.391,IF('Education calculator'!B13='Education calculator'!R138,0.395))))</f>
        <v>0.39500000000000002</v>
      </c>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303"/>
      <c r="BO21" s="307"/>
      <c r="BP21" s="53"/>
      <c r="BR21" s="14" t="s">
        <v>789</v>
      </c>
    </row>
    <row r="22" spans="1:73" s="306" customFormat="1" ht="37.5" customHeight="1" x14ac:dyDescent="0.2">
      <c r="A22" s="106" t="s">
        <v>746</v>
      </c>
      <c r="B22" s="90" t="s">
        <v>747</v>
      </c>
      <c r="C22" s="107">
        <v>0.10299999999999999</v>
      </c>
      <c r="D22" s="249"/>
      <c r="E22" s="249"/>
      <c r="F22" s="249"/>
      <c r="G22" s="249"/>
      <c r="H22" s="249"/>
      <c r="I22" s="249"/>
      <c r="J22" s="249"/>
      <c r="K22" s="249"/>
      <c r="L22" s="249"/>
      <c r="M22" s="249"/>
      <c r="N22" s="249"/>
      <c r="O22" s="249"/>
      <c r="P22" s="249"/>
      <c r="Q22" s="249"/>
      <c r="R22" s="249"/>
      <c r="S22" s="249"/>
      <c r="T22" s="249"/>
      <c r="U22" s="349">
        <f>IF('Education calculator'!B13='Education calculator'!R135,0.0019,IF('Education calculator'!B13='Education calculator'!R136,0.0026,IF('Education calculator'!B13='Education calculator'!R137,0.002,IF('Education calculator'!B13='Education calculator'!R138,0.0025,"Requires Building Type Definition"))))</f>
        <v>2.5000000000000001E-3</v>
      </c>
      <c r="V22" s="249"/>
      <c r="W22" s="249"/>
      <c r="X22" s="249"/>
      <c r="Y22" s="249"/>
      <c r="Z22" s="249"/>
      <c r="AA22" s="249"/>
      <c r="AB22" s="249"/>
      <c r="AC22" s="249"/>
      <c r="AD22" s="249"/>
      <c r="AE22" s="249"/>
      <c r="AF22" s="249"/>
      <c r="AG22" s="249"/>
      <c r="AH22" s="245">
        <v>0.67</v>
      </c>
      <c r="AI22" s="249"/>
      <c r="AJ22" s="249"/>
      <c r="AK22" s="245">
        <v>1</v>
      </c>
      <c r="AL22" s="245" t="s">
        <v>280</v>
      </c>
      <c r="AM22" s="249"/>
      <c r="AN22" s="249"/>
      <c r="AO22" s="249"/>
      <c r="AP22" s="249"/>
      <c r="AQ22" s="249"/>
      <c r="AR22" s="249"/>
      <c r="AS22" s="303"/>
      <c r="BO22" s="309"/>
      <c r="BP22" s="53"/>
      <c r="BR22" s="315" t="s">
        <v>790</v>
      </c>
    </row>
    <row r="23" spans="1:73" s="306" customFormat="1" ht="37.5" customHeight="1" x14ac:dyDescent="0.2">
      <c r="A23" s="106" t="s">
        <v>742</v>
      </c>
      <c r="B23" s="90" t="s">
        <v>772</v>
      </c>
      <c r="C23" s="107">
        <v>0.10299999999999999</v>
      </c>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49"/>
      <c r="AQ23" s="249"/>
      <c r="AR23" s="249"/>
      <c r="AS23" s="303"/>
      <c r="BO23" s="309"/>
      <c r="BP23" s="53"/>
      <c r="BR23" s="315" t="s">
        <v>791</v>
      </c>
    </row>
    <row r="24" spans="1:73" s="306" customFormat="1" ht="37.5" customHeight="1" x14ac:dyDescent="0.2">
      <c r="A24" s="106" t="s">
        <v>764</v>
      </c>
      <c r="B24" s="90" t="s">
        <v>740</v>
      </c>
      <c r="C24" s="107">
        <f>IF(OR('Education calculator'!B13='Education calculator'!R137,'Education calculator'!B13='Education calculator'!R138),0.03,"See note")</f>
        <v>0.03</v>
      </c>
      <c r="D24" s="249"/>
      <c r="E24" s="249"/>
      <c r="F24" s="249"/>
      <c r="G24" s="249"/>
      <c r="H24" s="249"/>
      <c r="I24" s="249"/>
      <c r="J24" s="249"/>
      <c r="K24" s="249"/>
      <c r="L24" s="249"/>
      <c r="M24" s="249"/>
      <c r="N24" s="249"/>
      <c r="O24" s="249"/>
      <c r="P24" s="249"/>
      <c r="Q24" s="249"/>
      <c r="R24" s="249"/>
      <c r="S24" s="245" t="s">
        <v>101</v>
      </c>
      <c r="T24" s="249"/>
      <c r="U24" s="245" t="s">
        <v>101</v>
      </c>
      <c r="V24" s="244" t="s">
        <v>280</v>
      </c>
      <c r="W24" s="245" t="s">
        <v>101</v>
      </c>
      <c r="X24" s="249"/>
      <c r="Y24" s="353" t="b">
        <f>IF('Education calculator'!F19='Education calculator'!Q131,IF(AND('Education calculator'!O132&lt;300,OR('Education calculator'!B13='Education calculator'!R135,'Education calculator'!B13='Education calculator'!R136)),'Education calculator'!G19*0.9*2*2.674,IF(AND('Education calculator'!O132&gt;=300,OR('Education calculator'!B13='Education calculator'!R135,'Education calculator'!B13='Education calculator'!R136)),'Education calculator'!G19*0.9*3*2.674,IF(OR('Education calculator'!B13='Education calculator'!R137,'Education calculator'!B13='Education calculator'!R138),'Education calculator'!G19*0.6*2.674,"Requires building type/area definition"))))</f>
        <v>0</v>
      </c>
      <c r="Z24" s="245">
        <f>IF(OR('Education calculator'!B13='Education calculator'!R137,'Education calculator'!B13='Education calculator'!R138),'Education calculator'!G19*6.314*0.6,IF(OR('Education calculator'!B13='Education calculator'!R135,'Education calculator'!B13='Education calculator'!R136),IF('Education calculator'!O132&lt;300,'Education calculator'!G19*0.9*2*6.314,'Education calculator'!G19*0.9*3*6.314)))</f>
        <v>0</v>
      </c>
      <c r="AA24" s="249"/>
      <c r="AB24" s="249"/>
      <c r="AC24" s="249"/>
      <c r="AD24" s="249"/>
      <c r="AE24" s="249"/>
      <c r="AF24" s="249"/>
      <c r="AG24" s="249"/>
      <c r="AH24" s="249"/>
      <c r="AI24" s="245">
        <v>60</v>
      </c>
      <c r="AJ24" s="249"/>
      <c r="AK24" s="247">
        <f>IF(OR('Education calculator'!B13='Education calculator'!R137,'Education calculator'!B13='Education calculator'!R138),0.248,IF('Education calculator'!O142&gt;=300,0.675,IF('Education calculator'!O142&lt;300,0.45,'Education calculator'!Q138)))</f>
        <v>0.248</v>
      </c>
      <c r="AL24" s="245" t="s">
        <v>280</v>
      </c>
      <c r="AM24" s="245">
        <v>30</v>
      </c>
      <c r="AN24" s="249"/>
      <c r="AO24" s="245">
        <v>1</v>
      </c>
      <c r="AP24" s="245">
        <v>1</v>
      </c>
      <c r="AQ24" s="249"/>
      <c r="AR24" s="249"/>
      <c r="AS24" s="303"/>
      <c r="AU24" s="315"/>
      <c r="AV24" s="315"/>
      <c r="AW24" s="315"/>
      <c r="AX24" s="315"/>
      <c r="AY24" s="313"/>
      <c r="AZ24" s="313"/>
      <c r="BA24" s="315"/>
      <c r="BO24" s="307"/>
      <c r="BP24" s="53"/>
      <c r="BR24" s="315" t="s">
        <v>792</v>
      </c>
    </row>
    <row r="25" spans="1:73" s="306" customFormat="1" ht="32.1" customHeight="1" x14ac:dyDescent="0.2">
      <c r="A25" s="106" t="str">
        <f>IF(OR('Education calculator'!B13='Education calculator'!R135,'Education calculator'!B13='Education calculator'!R136),"Education - Changing facilities with showers ",IF(OR('Education calculator'!B13='Education calculator'!R137,'Education calculator'!B13='Education calculator'!R138),"Sporting facility with changing rooms and showers","Requires building type definition in calculator"))</f>
        <v>Sporting facility with changing rooms and showers</v>
      </c>
      <c r="B25" s="90" t="str">
        <f>IF(OR('Education calculator'!B13='Education calculator'!R135,'Education calculator'!B13='Education calculator'!R136),"Changing facility with showers to be used by pupils ",IF(OR('Education calculator'!B13='Education calculator'!R137,'Education calculator'!B13='Education calculator'!R138),"Changing facility with showers, used by students and/or staff, linked to a sporting/fitness facility e.g. gym, that is part of the assessed building."))</f>
        <v>Changing facility with showers, used by students and/or staff, linked to a sporting/fitness facility e.g. gym, that is part of the assessed building.</v>
      </c>
      <c r="C25" s="109">
        <v>0</v>
      </c>
      <c r="D25" s="249"/>
      <c r="E25" s="249"/>
      <c r="F25" s="249"/>
      <c r="G25" s="249"/>
      <c r="H25" s="249"/>
      <c r="I25" s="249"/>
      <c r="J25" s="249"/>
      <c r="K25" s="249"/>
      <c r="L25" s="249"/>
      <c r="M25" s="249"/>
      <c r="N25" s="249"/>
      <c r="O25" s="249"/>
      <c r="P25" s="249"/>
      <c r="Q25" s="249"/>
      <c r="R25" s="249"/>
      <c r="S25" s="249"/>
      <c r="T25" s="249"/>
      <c r="U25" s="249"/>
      <c r="V25" s="249"/>
      <c r="W25" s="249"/>
      <c r="X25" s="353">
        <f>IF(OR('Education calculator'!B13='Education calculator'!R135,'Education calculator'!B13='Education calculator'!R136),0.12,IF(OR('Education calculator'!B13='Education calculator'!R137,'Education calculator'!B13='Education calculator'!R138),0.05,"Requires building type definition"))</f>
        <v>0.05</v>
      </c>
      <c r="Y25" s="249"/>
      <c r="Z25" s="249"/>
      <c r="AA25" s="249"/>
      <c r="AB25" s="249"/>
      <c r="AC25" s="249"/>
      <c r="AD25" s="249"/>
      <c r="AE25" s="249"/>
      <c r="AF25" s="249"/>
      <c r="AG25" s="249"/>
      <c r="AH25" s="249"/>
      <c r="AI25" s="249"/>
      <c r="AJ25" s="249"/>
      <c r="AK25" s="249"/>
      <c r="AL25" s="249"/>
      <c r="AM25" s="249"/>
      <c r="AN25" s="249"/>
      <c r="AO25" s="249"/>
      <c r="AP25" s="249"/>
      <c r="AQ25" s="249"/>
      <c r="AR25" s="249"/>
      <c r="AS25" s="303"/>
      <c r="AU25" s="315"/>
      <c r="AV25" s="315"/>
      <c r="AW25" s="315"/>
      <c r="AX25" s="315"/>
      <c r="AY25" s="313"/>
      <c r="AZ25" s="313"/>
      <c r="BA25" s="315"/>
      <c r="BO25" s="307"/>
      <c r="BP25" s="53"/>
      <c r="BR25" s="315" t="s">
        <v>827</v>
      </c>
    </row>
    <row r="26" spans="1:73" s="306" customFormat="1" ht="32.1" customHeight="1" x14ac:dyDescent="0.2">
      <c r="A26" s="106" t="s">
        <v>744</v>
      </c>
      <c r="B26" s="90" t="s">
        <v>745</v>
      </c>
      <c r="C26" s="107">
        <v>0.21830985915493001</v>
      </c>
      <c r="D26" s="249"/>
      <c r="E26" s="249"/>
      <c r="F26" s="249"/>
      <c r="G26" s="249"/>
      <c r="H26" s="249"/>
      <c r="I26" s="249"/>
      <c r="J26" s="249"/>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49"/>
      <c r="AM26" s="249"/>
      <c r="AN26" s="249"/>
      <c r="AO26" s="249"/>
      <c r="AP26" s="249"/>
      <c r="AQ26" s="249"/>
      <c r="AR26" s="249"/>
      <c r="AS26" s="303"/>
      <c r="BO26" s="307"/>
      <c r="BP26" s="53"/>
      <c r="BR26" s="315" t="s">
        <v>833</v>
      </c>
    </row>
    <row r="27" spans="1:73" s="306" customFormat="1" ht="37.5" customHeight="1" x14ac:dyDescent="0.2">
      <c r="A27" s="106" t="s">
        <v>766</v>
      </c>
      <c r="B27" s="90" t="s">
        <v>765</v>
      </c>
      <c r="C27" s="107">
        <v>0.625</v>
      </c>
      <c r="D27" s="249"/>
      <c r="E27" s="249"/>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49"/>
      <c r="AJ27" s="249"/>
      <c r="AK27" s="249"/>
      <c r="AL27" s="249"/>
      <c r="AM27" s="249"/>
      <c r="AN27" s="249"/>
      <c r="AO27" s="249"/>
      <c r="AP27" s="249"/>
      <c r="AQ27" s="249"/>
      <c r="AR27" s="249"/>
      <c r="AS27" s="303"/>
      <c r="BO27" s="309"/>
      <c r="BP27" s="53"/>
    </row>
    <row r="28" spans="1:73" s="306" customFormat="1" ht="32.1" customHeight="1" x14ac:dyDescent="0.2">
      <c r="A28" s="106" t="s">
        <v>738</v>
      </c>
      <c r="B28" s="90" t="s">
        <v>739</v>
      </c>
      <c r="C28" s="107">
        <v>6.3259259264444506E-2</v>
      </c>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303"/>
      <c r="AU28" s="87"/>
      <c r="AV28" s="87"/>
      <c r="AW28" s="87"/>
      <c r="AX28" s="87"/>
      <c r="BA28" s="310"/>
      <c r="BO28" s="309"/>
      <c r="BP28" s="311"/>
    </row>
    <row r="29" spans="1:73" s="315" customFormat="1" ht="32.1" customHeight="1" x14ac:dyDescent="0.2">
      <c r="A29" s="90" t="s">
        <v>770</v>
      </c>
      <c r="B29" s="90" t="s">
        <v>771</v>
      </c>
      <c r="C29" s="107">
        <v>0.23100000000000001</v>
      </c>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316"/>
      <c r="AY29" s="313"/>
      <c r="AZ29" s="313"/>
      <c r="BO29" s="314"/>
      <c r="BP29" s="19"/>
    </row>
    <row r="30" spans="1:73" s="315" customFormat="1" ht="32.1" customHeight="1" x14ac:dyDescent="0.2">
      <c r="A30" s="387" t="s">
        <v>769</v>
      </c>
      <c r="B30" s="90" t="s">
        <v>768</v>
      </c>
      <c r="C30" s="107">
        <v>0.10625</v>
      </c>
      <c r="D30" s="249"/>
      <c r="E30" s="249"/>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M30" s="249"/>
      <c r="AN30" s="249"/>
      <c r="AO30" s="249"/>
      <c r="AP30" s="249"/>
      <c r="AQ30" s="249"/>
      <c r="AR30" s="249"/>
      <c r="AS30" s="316"/>
      <c r="AY30" s="313"/>
      <c r="AZ30" s="313"/>
      <c r="BO30" s="314"/>
      <c r="BP30" s="19"/>
    </row>
    <row r="31" spans="1:73" s="363" customFormat="1" ht="36" customHeight="1" x14ac:dyDescent="0.2">
      <c r="A31" s="389" t="s">
        <v>805</v>
      </c>
      <c r="B31" s="384" t="s">
        <v>987</v>
      </c>
      <c r="C31" s="317" t="s">
        <v>521</v>
      </c>
      <c r="D31" s="317">
        <v>362</v>
      </c>
      <c r="E31" s="317">
        <v>8.5</v>
      </c>
      <c r="F31" s="317" t="s">
        <v>521</v>
      </c>
      <c r="G31" s="396" t="str">
        <f>IF(ISERROR((('Retail calculator'!$P$139/'Retail calculator'!$O$140)*'Activity database'!G32)+(('Retail calculator'!$O$139/'Retail calculator'!$O$140)*'Activity database'!G33)),"Requires building information",(('Retail calculator'!$P$139/'Retail calculator'!$O$140)*'Activity database'!G32)+(('Retail calculator'!$O$139/'Retail calculator'!$O$140)*'Activity database'!G33))</f>
        <v>Requires building information</v>
      </c>
      <c r="H31" s="403" t="str">
        <f>IF(ISERROR((('Retail calculator'!$P$139/'Retail calculator'!$O$140)*'Activity database'!H32)+(('Retail calculator'!$O$139/'Retail calculator'!$O$140)*'Activity database'!H33)),"Requires building information",(('Retail calculator'!$P$139/'Retail calculator'!$O$140)*'Activity database'!H32)+(('Retail calculator'!$O$139/'Retail calculator'!$O$140)*'Activity database'!H33))</f>
        <v>Requires building information</v>
      </c>
      <c r="I31" s="395" t="str">
        <f>IF(ISERROR((('Retail calculator'!$P$139/'Retail calculator'!$O$140)*'Activity database'!I32)+(('Retail calculator'!$O$139/'Retail calculator'!$O$140)*'Activity database'!I33)),"Requires building information",(('Retail calculator'!$P$139/'Retail calculator'!$O$140)*'Activity database'!I32)+(('Retail calculator'!$O$139/'Retail calculator'!$O$140)*'Activity database'!I33))</f>
        <v>Requires building information</v>
      </c>
      <c r="J31" s="395" t="str">
        <f>IF(ISERROR((('Retail calculator'!$P$139/'Retail calculator'!$O$140)*'Activity database'!J32)+(('Retail calculator'!$O$139/'Retail calculator'!$O$140)*'Activity database'!J33)),"Requires building information",(('Retail calculator'!$P$139/'Retail calculator'!$O$140)*'Activity database'!J32)+(('Retail calculator'!$O$139/'Retail calculator'!$O$140)*'Activity database'!J33))</f>
        <v>Requires building information</v>
      </c>
      <c r="K31" s="395" t="str">
        <f>IF(ISERROR((('Retail calculator'!$P$139/'Retail calculator'!$O$140)*'Activity database'!K32)+(('Retail calculator'!$O$139/'Retail calculator'!$O$140)*'Activity database'!K33)),"Requires building information",(('Retail calculator'!$P$139/'Retail calculator'!$O$140)*'Activity database'!K32)+(('Retail calculator'!$O$139/'Retail calculator'!$O$140)*'Activity database'!K33))</f>
        <v>Requires building information</v>
      </c>
      <c r="L31" s="395" t="str">
        <f>IF(ISERROR((('Retail calculator'!$P$139/'Retail calculator'!$O$140)*'Activity database'!L32)+(('Retail calculator'!$O$139/'Retail calculator'!$O$140)*'Activity database'!L33)),"Requires building information",(('Retail calculator'!$P$139/'Retail calculator'!$O$140)*'Activity database'!L32)+(('Retail calculator'!$O$139/'Retail calculator'!$O$140)*'Activity database'!L33))</f>
        <v>Requires building information</v>
      </c>
      <c r="M31" s="395" t="str">
        <f>IF(ISERROR((('Retail calculator'!$P$139/'Retail calculator'!$O$140)*'Activity database'!M32)+(('Retail calculator'!$O$139/'Retail calculator'!$O$140)*'Activity database'!M33)),"Requires building information",(('Retail calculator'!$P$139/'Retail calculator'!$O$140)*'Activity database'!M32)+(('Retail calculator'!$O$139/'Retail calculator'!$O$140)*'Activity database'!M33))</f>
        <v>Requires building information</v>
      </c>
      <c r="N31" s="404" t="str">
        <f>IF(ISERROR('Retail calculator'!$P$139/'Retail calculator'!$O$140)*'Activity database'!N32,"Requires building information",('Retail calculator'!$P$139/'Retail calculator'!$O$140)*'Activity database'!N32)</f>
        <v>Requires building information</v>
      </c>
      <c r="O31" s="240" t="s">
        <v>280</v>
      </c>
      <c r="P31" s="240" t="s">
        <v>280</v>
      </c>
      <c r="Q31" s="240" t="s">
        <v>280</v>
      </c>
      <c r="R31" s="397" t="s">
        <v>521</v>
      </c>
      <c r="S31" s="397" t="s">
        <v>521</v>
      </c>
      <c r="T31" s="397" t="s">
        <v>521</v>
      </c>
      <c r="U31" s="397" t="s">
        <v>521</v>
      </c>
      <c r="V31" s="240" t="s">
        <v>280</v>
      </c>
      <c r="W31" s="397" t="s">
        <v>521</v>
      </c>
      <c r="X31" s="397" t="str">
        <f>IF(ISERROR('Retail calculator'!$P$139/'Retail calculator'!$O$140)*'Activity database'!X32,"Requires building information",('Retail calculator'!$P$139/'Retail calculator'!$O$140)*'Activity database'!X32)</f>
        <v>Requires building information</v>
      </c>
      <c r="Y31" s="397" t="s">
        <v>521</v>
      </c>
      <c r="Z31" s="397" t="s">
        <v>521</v>
      </c>
      <c r="AA31" s="397">
        <v>1</v>
      </c>
      <c r="AB31" s="397">
        <v>1</v>
      </c>
      <c r="AC31" s="397">
        <v>0.25</v>
      </c>
      <c r="AD31" s="397">
        <v>5.6</v>
      </c>
      <c r="AE31" s="397">
        <v>4.37</v>
      </c>
      <c r="AF31" s="397">
        <v>1</v>
      </c>
      <c r="AG31" s="397">
        <v>1</v>
      </c>
      <c r="AH31" s="397" t="s">
        <v>521</v>
      </c>
      <c r="AI31" s="397" t="s">
        <v>521</v>
      </c>
      <c r="AJ31" s="397" t="s">
        <v>521</v>
      </c>
      <c r="AK31" s="397" t="s">
        <v>521</v>
      </c>
      <c r="AL31" s="397" t="s">
        <v>521</v>
      </c>
      <c r="AM31" s="397" t="s">
        <v>521</v>
      </c>
      <c r="AN31" s="397">
        <f>AN32</f>
        <v>1</v>
      </c>
      <c r="AO31" s="397" t="s">
        <v>521</v>
      </c>
      <c r="AP31" s="397" t="s">
        <v>521</v>
      </c>
      <c r="AQ31" s="398">
        <v>0.4</v>
      </c>
      <c r="AR31" s="399">
        <v>0.67700000000000005</v>
      </c>
      <c r="AS31" s="400"/>
      <c r="AU31" s="361"/>
      <c r="AV31" s="401"/>
      <c r="AW31" s="361"/>
      <c r="BO31" s="57"/>
      <c r="BP31" s="402"/>
    </row>
    <row r="32" spans="1:73" s="91" customFormat="1" ht="14.25" customHeight="1" x14ac:dyDescent="0.2">
      <c r="A32" s="390"/>
      <c r="B32" s="384"/>
      <c r="C32" s="238" t="s">
        <v>521</v>
      </c>
      <c r="D32" s="238" t="s">
        <v>521</v>
      </c>
      <c r="E32" s="238" t="s">
        <v>521</v>
      </c>
      <c r="F32" s="317" t="s">
        <v>160</v>
      </c>
      <c r="G32" s="239">
        <v>0.5</v>
      </c>
      <c r="H32" s="239">
        <v>0.5</v>
      </c>
      <c r="I32" s="240">
        <v>1</v>
      </c>
      <c r="J32" s="240">
        <v>4</v>
      </c>
      <c r="K32" s="240">
        <v>4</v>
      </c>
      <c r="L32" s="240">
        <v>3</v>
      </c>
      <c r="M32" s="240">
        <v>4</v>
      </c>
      <c r="N32" s="240">
        <v>0.03</v>
      </c>
      <c r="O32" s="240" t="s">
        <v>280</v>
      </c>
      <c r="P32" s="240" t="s">
        <v>280</v>
      </c>
      <c r="Q32" s="240" t="s">
        <v>280</v>
      </c>
      <c r="R32" s="240" t="s">
        <v>521</v>
      </c>
      <c r="S32" s="240" t="s">
        <v>521</v>
      </c>
      <c r="T32" s="240" t="s">
        <v>521</v>
      </c>
      <c r="U32" s="240" t="s">
        <v>521</v>
      </c>
      <c r="V32" s="240" t="s">
        <v>280</v>
      </c>
      <c r="W32" s="240" t="s">
        <v>521</v>
      </c>
      <c r="X32" s="240">
        <v>1.58</v>
      </c>
      <c r="Y32" s="240" t="s">
        <v>521</v>
      </c>
      <c r="Z32" s="240" t="s">
        <v>521</v>
      </c>
      <c r="AA32" s="240" t="s">
        <v>521</v>
      </c>
      <c r="AB32" s="240" t="s">
        <v>521</v>
      </c>
      <c r="AC32" s="240" t="s">
        <v>521</v>
      </c>
      <c r="AD32" s="240" t="s">
        <v>521</v>
      </c>
      <c r="AE32" s="240" t="s">
        <v>521</v>
      </c>
      <c r="AF32" s="240" t="s">
        <v>521</v>
      </c>
      <c r="AG32" s="240" t="s">
        <v>521</v>
      </c>
      <c r="AH32" s="240" t="s">
        <v>521</v>
      </c>
      <c r="AI32" s="240" t="s">
        <v>521</v>
      </c>
      <c r="AJ32" s="240" t="s">
        <v>521</v>
      </c>
      <c r="AK32" s="240" t="s">
        <v>521</v>
      </c>
      <c r="AL32" s="240" t="s">
        <v>521</v>
      </c>
      <c r="AM32" s="240" t="s">
        <v>521</v>
      </c>
      <c r="AN32" s="240">
        <v>1</v>
      </c>
      <c r="AO32" s="240" t="s">
        <v>521</v>
      </c>
      <c r="AP32" s="240" t="s">
        <v>521</v>
      </c>
      <c r="AQ32" s="240" t="s">
        <v>521</v>
      </c>
      <c r="AR32" s="240" t="s">
        <v>521</v>
      </c>
      <c r="AS32" s="360"/>
      <c r="AU32" s="361"/>
      <c r="AV32" s="362"/>
      <c r="AW32" s="361"/>
      <c r="BB32" s="363"/>
      <c r="BC32" s="363"/>
      <c r="BD32" s="363"/>
      <c r="BE32" s="363"/>
      <c r="BF32" s="363"/>
      <c r="BG32" s="363"/>
      <c r="BH32" s="363"/>
      <c r="BI32" s="363"/>
      <c r="BJ32" s="363"/>
      <c r="BK32" s="363"/>
      <c r="BL32" s="363"/>
      <c r="BM32" s="363"/>
      <c r="BN32" s="363"/>
      <c r="BO32" s="52"/>
      <c r="BP32" s="364"/>
      <c r="BU32" s="95"/>
    </row>
    <row r="33" spans="1:73" s="91" customFormat="1" ht="14.25" customHeight="1" x14ac:dyDescent="0.2">
      <c r="A33" s="391"/>
      <c r="B33" s="384"/>
      <c r="C33" s="238" t="s">
        <v>521</v>
      </c>
      <c r="D33" s="238" t="s">
        <v>521</v>
      </c>
      <c r="E33" s="238" t="s">
        <v>521</v>
      </c>
      <c r="F33" s="317" t="s">
        <v>841</v>
      </c>
      <c r="G33" s="239">
        <v>0.35</v>
      </c>
      <c r="H33" s="239">
        <v>0.65</v>
      </c>
      <c r="I33" s="240">
        <v>0.1333</v>
      </c>
      <c r="J33" s="240">
        <v>0.8</v>
      </c>
      <c r="K33" s="240">
        <v>0.8</v>
      </c>
      <c r="L33" s="240">
        <v>0.66700000000000004</v>
      </c>
      <c r="M33" s="240">
        <v>0.8</v>
      </c>
      <c r="N33" s="240" t="s">
        <v>521</v>
      </c>
      <c r="O33" s="240" t="s">
        <v>280</v>
      </c>
      <c r="P33" s="240" t="s">
        <v>280</v>
      </c>
      <c r="Q33" s="240" t="s">
        <v>280</v>
      </c>
      <c r="R33" s="240" t="s">
        <v>521</v>
      </c>
      <c r="S33" s="240" t="s">
        <v>521</v>
      </c>
      <c r="T33" s="240" t="s">
        <v>521</v>
      </c>
      <c r="U33" s="240" t="s">
        <v>521</v>
      </c>
      <c r="V33" s="240" t="s">
        <v>280</v>
      </c>
      <c r="W33" s="240" t="s">
        <v>521</v>
      </c>
      <c r="X33" s="240" t="s">
        <v>521</v>
      </c>
      <c r="Y33" s="240" t="s">
        <v>521</v>
      </c>
      <c r="Z33" s="240" t="s">
        <v>521</v>
      </c>
      <c r="AA33" s="240" t="s">
        <v>521</v>
      </c>
      <c r="AB33" s="240" t="s">
        <v>521</v>
      </c>
      <c r="AC33" s="240" t="s">
        <v>521</v>
      </c>
      <c r="AD33" s="240" t="s">
        <v>521</v>
      </c>
      <c r="AE33" s="240" t="s">
        <v>521</v>
      </c>
      <c r="AF33" s="240" t="s">
        <v>521</v>
      </c>
      <c r="AG33" s="240" t="s">
        <v>521</v>
      </c>
      <c r="AH33" s="240" t="s">
        <v>521</v>
      </c>
      <c r="AI33" s="240" t="s">
        <v>521</v>
      </c>
      <c r="AJ33" s="240" t="s">
        <v>521</v>
      </c>
      <c r="AK33" s="240" t="s">
        <v>521</v>
      </c>
      <c r="AL33" s="240" t="s">
        <v>521</v>
      </c>
      <c r="AM33" s="240" t="s">
        <v>521</v>
      </c>
      <c r="AN33" s="240" t="s">
        <v>521</v>
      </c>
      <c r="AO33" s="240" t="s">
        <v>521</v>
      </c>
      <c r="AP33" s="240" t="s">
        <v>521</v>
      </c>
      <c r="AQ33" s="240" t="s">
        <v>521</v>
      </c>
      <c r="AR33" s="240" t="s">
        <v>521</v>
      </c>
      <c r="AS33" s="360"/>
      <c r="AU33" s="361"/>
      <c r="AV33" s="362"/>
      <c r="AW33" s="361"/>
      <c r="BB33" s="363"/>
      <c r="BC33" s="363"/>
      <c r="BD33" s="363"/>
      <c r="BE33" s="363"/>
      <c r="BF33" s="363"/>
      <c r="BG33" s="363"/>
      <c r="BH33" s="363"/>
      <c r="BI33" s="363"/>
      <c r="BJ33" s="363"/>
      <c r="BK33" s="363"/>
      <c r="BL33" s="363"/>
      <c r="BM33" s="363"/>
      <c r="BN33" s="363"/>
      <c r="BO33" s="52"/>
      <c r="BP33" s="364"/>
      <c r="BU33" s="95"/>
    </row>
    <row r="34" spans="1:73" s="91" customFormat="1" ht="36" customHeight="1" x14ac:dyDescent="0.2">
      <c r="A34" s="392" t="s">
        <v>800</v>
      </c>
      <c r="B34" s="384" t="s">
        <v>988</v>
      </c>
      <c r="C34" s="238" t="s">
        <v>521</v>
      </c>
      <c r="D34" s="238">
        <v>362</v>
      </c>
      <c r="E34" s="370">
        <v>13</v>
      </c>
      <c r="F34" s="240" t="s">
        <v>521</v>
      </c>
      <c r="G34" s="396" t="str">
        <f>IF(ISERROR((('Retail calculator'!$P$139/'Retail calculator'!$O$140)*'Activity database'!G35)+(('Retail calculator'!$O$139/'Retail calculator'!$O$140)*'Activity database'!G36)),"Requires building information",(('Retail calculator'!$P$139/'Retail calculator'!$O$140)*'Activity database'!G35)+(('Retail calculator'!$O$139/'Retail calculator'!$O$140)*'Activity database'!G36))</f>
        <v>Requires building information</v>
      </c>
      <c r="H34" s="403" t="str">
        <f>IF(ISERROR((('Retail calculator'!$P$139/'Retail calculator'!$O$140)*'Activity database'!H35)+(('Retail calculator'!$O$139/'Retail calculator'!$O$140)*'Activity database'!H36)),"Requires building information",(('Retail calculator'!$P$139/'Retail calculator'!$O$140)*'Activity database'!H35)+(('Retail calculator'!$O$139/'Retail calculator'!$O$140)*'Activity database'!H36))</f>
        <v>Requires building information</v>
      </c>
      <c r="I34" s="395" t="str">
        <f>IF(ISERROR((('Retail calculator'!$P$139/'Retail calculator'!$O$140)*'Activity database'!I35)+(('Retail calculator'!$O$139/'Retail calculator'!$O$140)*'Activity database'!I36)),"Requires building information",(('Retail calculator'!$P$139/'Retail calculator'!$O$140)*'Activity database'!I35)+(('Retail calculator'!$O$139/'Retail calculator'!$O$140)*'Activity database'!I36))</f>
        <v>Requires building information</v>
      </c>
      <c r="J34" s="395" t="str">
        <f>IF(ISERROR((('Retail calculator'!$P$139/'Retail calculator'!$O$140)*'Activity database'!J35)+(('Retail calculator'!$O$139/'Retail calculator'!$O$140)*'Activity database'!J36)),"Requires building information",(('Retail calculator'!$P$139/'Retail calculator'!$O$140)*'Activity database'!J35)+(('Retail calculator'!$O$139/'Retail calculator'!$O$140)*'Activity database'!J36))</f>
        <v>Requires building information</v>
      </c>
      <c r="K34" s="395" t="str">
        <f>IF(ISERROR((('Retail calculator'!$P$139/'Retail calculator'!$O$140)*'Activity database'!K35)+(('Retail calculator'!$O$139/'Retail calculator'!$O$140)*'Activity database'!K36)),"Requires building information",(('Retail calculator'!$P$139/'Retail calculator'!$O$140)*'Activity database'!K35)+(('Retail calculator'!$O$139/'Retail calculator'!$O$140)*'Activity database'!K36))</f>
        <v>Requires building information</v>
      </c>
      <c r="L34" s="395" t="str">
        <f>IF(ISERROR((('Retail calculator'!$P$139/'Retail calculator'!$O$140)*'Activity database'!L35)+(('Retail calculator'!$O$139/'Retail calculator'!$O$140)*'Activity database'!L36)),"Requires building information",(('Retail calculator'!$P$139/'Retail calculator'!$O$140)*'Activity database'!L35)+(('Retail calculator'!$O$139/'Retail calculator'!$O$140)*'Activity database'!L36))</f>
        <v>Requires building information</v>
      </c>
      <c r="M34" s="395" t="str">
        <f>IF(ISERROR((('Retail calculator'!$P$139/'Retail calculator'!$O$140)*'Activity database'!M35)+(('Retail calculator'!$O$139/'Retail calculator'!$O$140)*'Activity database'!M36)),"Requires building information",(('Retail calculator'!$P$139/'Retail calculator'!$O$140)*'Activity database'!M35)+(('Retail calculator'!$O$139/'Retail calculator'!$O$140)*'Activity database'!M36))</f>
        <v>Requires building information</v>
      </c>
      <c r="N34" s="404" t="str">
        <f>IF(ISERROR('Retail calculator'!$P$139/'Retail calculator'!$O$140)*'Activity database'!N35,"Requires building information",('Retail calculator'!$P$139/'Retail calculator'!$O$140)*'Activity database'!N35)</f>
        <v>Requires building information</v>
      </c>
      <c r="O34" s="240" t="s">
        <v>280</v>
      </c>
      <c r="P34" s="240" t="s">
        <v>280</v>
      </c>
      <c r="Q34" s="240" t="s">
        <v>280</v>
      </c>
      <c r="R34" s="240" t="s">
        <v>521</v>
      </c>
      <c r="S34" s="240" t="s">
        <v>521</v>
      </c>
      <c r="T34" s="240" t="s">
        <v>521</v>
      </c>
      <c r="U34" s="240" t="s">
        <v>521</v>
      </c>
      <c r="V34" s="240" t="s">
        <v>280</v>
      </c>
      <c r="W34" s="240" t="s">
        <v>521</v>
      </c>
      <c r="X34" s="397" t="str">
        <f>IF(ISERROR('Retail calculator'!$P$139/'Retail calculator'!$O$140)*'Activity database'!X35,"Requires building information",('Retail calculator'!$P$139/'Retail calculator'!$O$140)*'Activity database'!X35)</f>
        <v>Requires building information</v>
      </c>
      <c r="Y34" s="240" t="s">
        <v>521</v>
      </c>
      <c r="Z34" s="240" t="s">
        <v>521</v>
      </c>
      <c r="AA34" s="240">
        <v>1</v>
      </c>
      <c r="AB34" s="240">
        <v>1</v>
      </c>
      <c r="AC34" s="241">
        <v>0.25</v>
      </c>
      <c r="AD34" s="240">
        <v>5.6</v>
      </c>
      <c r="AE34" s="240">
        <v>4.37</v>
      </c>
      <c r="AF34" s="240">
        <v>1</v>
      </c>
      <c r="AG34" s="240">
        <v>1</v>
      </c>
      <c r="AH34" s="240" t="s">
        <v>521</v>
      </c>
      <c r="AI34" s="240" t="s">
        <v>521</v>
      </c>
      <c r="AJ34" s="240" t="s">
        <v>521</v>
      </c>
      <c r="AK34" s="240" t="s">
        <v>521</v>
      </c>
      <c r="AL34" s="240" t="s">
        <v>521</v>
      </c>
      <c r="AM34" s="240" t="s">
        <v>521</v>
      </c>
      <c r="AN34" s="240">
        <f>AN35</f>
        <v>1</v>
      </c>
      <c r="AO34" s="240" t="s">
        <v>521</v>
      </c>
      <c r="AP34" s="240" t="s">
        <v>521</v>
      </c>
      <c r="AQ34" s="239">
        <v>0.4</v>
      </c>
      <c r="AR34" s="241">
        <v>0.67700000000000005</v>
      </c>
      <c r="AS34" s="360"/>
      <c r="AU34" s="361"/>
      <c r="AV34" s="362"/>
      <c r="AW34" s="361"/>
      <c r="BB34" s="363"/>
      <c r="BC34" s="363"/>
      <c r="BD34" s="363"/>
      <c r="BE34" s="363"/>
      <c r="BF34" s="363"/>
      <c r="BG34" s="363"/>
      <c r="BH34" s="363"/>
      <c r="BI34" s="363"/>
      <c r="BJ34" s="363"/>
      <c r="BK34" s="363"/>
      <c r="BL34" s="363"/>
      <c r="BM34" s="363"/>
      <c r="BN34" s="363"/>
      <c r="BO34" s="52"/>
      <c r="BP34" s="364"/>
      <c r="BU34" s="95"/>
    </row>
    <row r="35" spans="1:73" s="91" customFormat="1" ht="14.25" customHeight="1" x14ac:dyDescent="0.2">
      <c r="A35" s="390"/>
      <c r="B35" s="384"/>
      <c r="C35" s="238" t="s">
        <v>521</v>
      </c>
      <c r="D35" s="238" t="s">
        <v>521</v>
      </c>
      <c r="E35" s="238" t="s">
        <v>521</v>
      </c>
      <c r="F35" s="317" t="s">
        <v>160</v>
      </c>
      <c r="G35" s="239">
        <v>0.5</v>
      </c>
      <c r="H35" s="239">
        <v>0.5</v>
      </c>
      <c r="I35" s="240">
        <v>1</v>
      </c>
      <c r="J35" s="240">
        <v>4</v>
      </c>
      <c r="K35" s="240">
        <v>4</v>
      </c>
      <c r="L35" s="240">
        <v>3</v>
      </c>
      <c r="M35" s="240">
        <v>4</v>
      </c>
      <c r="N35" s="240">
        <v>0.03</v>
      </c>
      <c r="O35" s="240" t="s">
        <v>280</v>
      </c>
      <c r="P35" s="240" t="s">
        <v>280</v>
      </c>
      <c r="Q35" s="240" t="s">
        <v>280</v>
      </c>
      <c r="R35" s="240" t="s">
        <v>521</v>
      </c>
      <c r="S35" s="240" t="s">
        <v>521</v>
      </c>
      <c r="T35" s="240" t="s">
        <v>521</v>
      </c>
      <c r="U35" s="240" t="s">
        <v>521</v>
      </c>
      <c r="V35" s="240" t="s">
        <v>280</v>
      </c>
      <c r="W35" s="240" t="s">
        <v>521</v>
      </c>
      <c r="X35" s="240">
        <v>1.58</v>
      </c>
      <c r="Y35" s="240" t="s">
        <v>521</v>
      </c>
      <c r="Z35" s="240" t="s">
        <v>521</v>
      </c>
      <c r="AA35" s="240" t="s">
        <v>521</v>
      </c>
      <c r="AB35" s="240" t="s">
        <v>521</v>
      </c>
      <c r="AC35" s="240" t="s">
        <v>521</v>
      </c>
      <c r="AD35" s="240" t="s">
        <v>521</v>
      </c>
      <c r="AE35" s="240" t="s">
        <v>521</v>
      </c>
      <c r="AF35" s="240" t="s">
        <v>521</v>
      </c>
      <c r="AG35" s="240" t="s">
        <v>521</v>
      </c>
      <c r="AH35" s="240" t="s">
        <v>521</v>
      </c>
      <c r="AI35" s="240" t="s">
        <v>521</v>
      </c>
      <c r="AJ35" s="240" t="s">
        <v>521</v>
      </c>
      <c r="AK35" s="240" t="s">
        <v>521</v>
      </c>
      <c r="AL35" s="240" t="s">
        <v>521</v>
      </c>
      <c r="AM35" s="240" t="s">
        <v>521</v>
      </c>
      <c r="AN35" s="240">
        <v>1</v>
      </c>
      <c r="AO35" s="240" t="s">
        <v>521</v>
      </c>
      <c r="AP35" s="240" t="s">
        <v>521</v>
      </c>
      <c r="AQ35" s="240" t="s">
        <v>521</v>
      </c>
      <c r="AR35" s="240" t="s">
        <v>521</v>
      </c>
      <c r="AS35" s="360"/>
      <c r="AU35" s="361"/>
      <c r="AV35" s="362"/>
      <c r="AW35" s="361"/>
      <c r="BB35" s="363"/>
      <c r="BC35" s="363"/>
      <c r="BD35" s="363"/>
      <c r="BE35" s="363"/>
      <c r="BF35" s="363"/>
      <c r="BG35" s="363"/>
      <c r="BH35" s="363"/>
      <c r="BI35" s="363"/>
      <c r="BJ35" s="363"/>
      <c r="BK35" s="363"/>
      <c r="BL35" s="363"/>
      <c r="BM35" s="363"/>
      <c r="BN35" s="363"/>
      <c r="BO35" s="52"/>
      <c r="BP35" s="364"/>
      <c r="BU35" s="95"/>
    </row>
    <row r="36" spans="1:73" s="91" customFormat="1" ht="14.25" customHeight="1" x14ac:dyDescent="0.2">
      <c r="A36" s="390"/>
      <c r="B36" s="384"/>
      <c r="C36" s="238" t="s">
        <v>521</v>
      </c>
      <c r="D36" s="238" t="s">
        <v>521</v>
      </c>
      <c r="E36" s="238" t="s">
        <v>521</v>
      </c>
      <c r="F36" s="317" t="s">
        <v>840</v>
      </c>
      <c r="G36" s="239">
        <v>0.35</v>
      </c>
      <c r="H36" s="239">
        <v>0.65</v>
      </c>
      <c r="I36" s="240">
        <v>0.1333</v>
      </c>
      <c r="J36" s="240">
        <v>0.8</v>
      </c>
      <c r="K36" s="240">
        <v>0.8</v>
      </c>
      <c r="L36" s="240">
        <v>0.66700000000000004</v>
      </c>
      <c r="M36" s="240">
        <v>0.8</v>
      </c>
      <c r="N36" s="240" t="s">
        <v>521</v>
      </c>
      <c r="O36" s="240" t="s">
        <v>280</v>
      </c>
      <c r="P36" s="240" t="s">
        <v>280</v>
      </c>
      <c r="Q36" s="240" t="s">
        <v>280</v>
      </c>
      <c r="R36" s="240" t="s">
        <v>521</v>
      </c>
      <c r="S36" s="240" t="s">
        <v>521</v>
      </c>
      <c r="T36" s="240" t="s">
        <v>521</v>
      </c>
      <c r="U36" s="240" t="s">
        <v>521</v>
      </c>
      <c r="V36" s="240" t="s">
        <v>280</v>
      </c>
      <c r="W36" s="240" t="s">
        <v>521</v>
      </c>
      <c r="X36" s="240" t="s">
        <v>521</v>
      </c>
      <c r="Y36" s="240" t="s">
        <v>521</v>
      </c>
      <c r="Z36" s="240" t="s">
        <v>521</v>
      </c>
      <c r="AA36" s="240" t="s">
        <v>521</v>
      </c>
      <c r="AB36" s="240" t="s">
        <v>521</v>
      </c>
      <c r="AC36" s="240" t="s">
        <v>521</v>
      </c>
      <c r="AD36" s="240" t="s">
        <v>521</v>
      </c>
      <c r="AE36" s="240" t="s">
        <v>521</v>
      </c>
      <c r="AF36" s="240" t="s">
        <v>521</v>
      </c>
      <c r="AG36" s="240" t="s">
        <v>521</v>
      </c>
      <c r="AH36" s="240" t="s">
        <v>521</v>
      </c>
      <c r="AI36" s="240" t="s">
        <v>521</v>
      </c>
      <c r="AJ36" s="240" t="s">
        <v>521</v>
      </c>
      <c r="AK36" s="240" t="s">
        <v>521</v>
      </c>
      <c r="AL36" s="240" t="s">
        <v>521</v>
      </c>
      <c r="AM36" s="240" t="s">
        <v>521</v>
      </c>
      <c r="AN36" s="240" t="s">
        <v>521</v>
      </c>
      <c r="AO36" s="240" t="s">
        <v>521</v>
      </c>
      <c r="AP36" s="240" t="s">
        <v>521</v>
      </c>
      <c r="AQ36" s="240" t="s">
        <v>521</v>
      </c>
      <c r="AR36" s="240" t="s">
        <v>521</v>
      </c>
      <c r="AS36" s="360"/>
      <c r="AU36" s="361"/>
      <c r="AV36" s="362"/>
      <c r="AW36" s="361"/>
      <c r="BB36" s="363"/>
      <c r="BC36" s="363"/>
      <c r="BD36" s="363"/>
      <c r="BE36" s="363"/>
      <c r="BF36" s="363"/>
      <c r="BG36" s="363"/>
      <c r="BH36" s="363"/>
      <c r="BI36" s="363"/>
      <c r="BJ36" s="363"/>
      <c r="BK36" s="363"/>
      <c r="BL36" s="363"/>
      <c r="BM36" s="363"/>
      <c r="BN36" s="363"/>
      <c r="BO36" s="52"/>
      <c r="BP36" s="364"/>
      <c r="BU36" s="95"/>
    </row>
    <row r="37" spans="1:73" s="91" customFormat="1" ht="33.75" customHeight="1" x14ac:dyDescent="0.2">
      <c r="A37" s="389" t="s">
        <v>801</v>
      </c>
      <c r="B37" s="384" t="s">
        <v>989</v>
      </c>
      <c r="C37" s="238" t="s">
        <v>521</v>
      </c>
      <c r="D37" s="238">
        <v>304</v>
      </c>
      <c r="E37" s="238">
        <v>8</v>
      </c>
      <c r="F37" s="238" t="s">
        <v>521</v>
      </c>
      <c r="G37" s="396" t="str">
        <f>IF(ISERROR((('Retail calculator'!$P$139/'Retail calculator'!$O$140)*'Activity database'!G38)+(('Retail calculator'!$O$139/'Retail calculator'!$O$140)*'Activity database'!G39)),"Requires building information",(('Retail calculator'!$P$139/'Retail calculator'!$O$140)*'Activity database'!G38)+(('Retail calculator'!$O$139/'Retail calculator'!$O$140)*'Activity database'!G39))</f>
        <v>Requires building information</v>
      </c>
      <c r="H37" s="403" t="str">
        <f>IF(ISERROR((('Retail calculator'!$P$139/'Retail calculator'!$O$140)*'Activity database'!H38)+(('Retail calculator'!$O$139/'Retail calculator'!$O$140)*'Activity database'!H39)),"Requires building information",(('Retail calculator'!$P$139/'Retail calculator'!$O$140)*'Activity database'!H38)+(('Retail calculator'!$O$139/'Retail calculator'!$O$140)*'Activity database'!H39))</f>
        <v>Requires building information</v>
      </c>
      <c r="I37" s="395" t="str">
        <f>IF(ISERROR((('Retail calculator'!$P$139/'Retail calculator'!$O$140)*'Activity database'!I38)+(('Retail calculator'!$O$139/'Retail calculator'!$O$140)*'Activity database'!I39)),"Requires building information",(('Retail calculator'!$P$139/'Retail calculator'!$O$140)*'Activity database'!I38)+(('Retail calculator'!$O$139/'Retail calculator'!$O$140)*'Activity database'!I39))</f>
        <v>Requires building information</v>
      </c>
      <c r="J37" s="395" t="str">
        <f>IF(ISERROR((('Retail calculator'!$P$139/'Retail calculator'!$O$140)*'Activity database'!J38)+(('Retail calculator'!$O$139/'Retail calculator'!$O$140)*'Activity database'!J39)),"Requires building information",(('Retail calculator'!$P$139/'Retail calculator'!$O$140)*'Activity database'!J38)+(('Retail calculator'!$O$139/'Retail calculator'!$O$140)*'Activity database'!J39))</f>
        <v>Requires building information</v>
      </c>
      <c r="K37" s="395" t="str">
        <f>IF(ISERROR((('Retail calculator'!$P$139/'Retail calculator'!$O$140)*'Activity database'!K38)+(('Retail calculator'!$O$139/'Retail calculator'!$O$140)*'Activity database'!K39)),"Requires building information",(('Retail calculator'!$P$139/'Retail calculator'!$O$140)*'Activity database'!K38)+(('Retail calculator'!$O$139/'Retail calculator'!$O$140)*'Activity database'!K39))</f>
        <v>Requires building information</v>
      </c>
      <c r="L37" s="395" t="str">
        <f>IF(ISERROR((('Retail calculator'!$P$139/'Retail calculator'!$O$140)*'Activity database'!L38)+(('Retail calculator'!$O$139/'Retail calculator'!$O$140)*'Activity database'!L39)),"Requires building information",(('Retail calculator'!$P$139/'Retail calculator'!$O$140)*'Activity database'!L38)+(('Retail calculator'!$O$139/'Retail calculator'!$O$140)*'Activity database'!L39))</f>
        <v>Requires building information</v>
      </c>
      <c r="M37" s="395" t="str">
        <f>IF(ISERROR((('Retail calculator'!$P$139/'Retail calculator'!$O$140)*'Activity database'!M38)+(('Retail calculator'!$O$139/'Retail calculator'!$O$140)*'Activity database'!M39)),"Requires building information",(('Retail calculator'!$P$139/'Retail calculator'!$O$140)*'Activity database'!M38)+(('Retail calculator'!$O$139/'Retail calculator'!$O$140)*'Activity database'!M39))</f>
        <v>Requires building information</v>
      </c>
      <c r="N37" s="404" t="str">
        <f>IF(ISERROR('Retail calculator'!$P$139/'Retail calculator'!$O$140)*'Activity database'!N38,"Requires building information",('Retail calculator'!$P$139/'Retail calculator'!$O$140)*'Activity database'!N38)</f>
        <v>Requires building information</v>
      </c>
      <c r="O37" s="240" t="s">
        <v>280</v>
      </c>
      <c r="P37" s="240" t="s">
        <v>280</v>
      </c>
      <c r="Q37" s="240" t="s">
        <v>280</v>
      </c>
      <c r="R37" s="240" t="s">
        <v>521</v>
      </c>
      <c r="S37" s="240" t="s">
        <v>521</v>
      </c>
      <c r="T37" s="240" t="s">
        <v>521</v>
      </c>
      <c r="U37" s="240" t="s">
        <v>521</v>
      </c>
      <c r="V37" s="240" t="s">
        <v>280</v>
      </c>
      <c r="W37" s="240" t="s">
        <v>521</v>
      </c>
      <c r="X37" s="397" t="str">
        <f>IF(ISERROR('Retail calculator'!$P$139/'Retail calculator'!$O$140)*'Activity database'!X38,"Requires building information",('Retail calculator'!$P$139/'Retail calculator'!$O$140)*'Activity database'!X38)</f>
        <v>Requires building information</v>
      </c>
      <c r="Y37" s="240" t="s">
        <v>521</v>
      </c>
      <c r="Z37" s="240" t="s">
        <v>521</v>
      </c>
      <c r="AA37" s="240">
        <v>1</v>
      </c>
      <c r="AB37" s="240">
        <v>1</v>
      </c>
      <c r="AC37" s="241">
        <v>0.25</v>
      </c>
      <c r="AD37" s="240">
        <v>5.6</v>
      </c>
      <c r="AE37" s="240">
        <v>4.37</v>
      </c>
      <c r="AF37" s="240">
        <v>1</v>
      </c>
      <c r="AG37" s="240">
        <v>1</v>
      </c>
      <c r="AH37" s="240" t="s">
        <v>521</v>
      </c>
      <c r="AI37" s="240" t="s">
        <v>521</v>
      </c>
      <c r="AJ37" s="240" t="s">
        <v>521</v>
      </c>
      <c r="AK37" s="240" t="s">
        <v>521</v>
      </c>
      <c r="AL37" s="240" t="s">
        <v>521</v>
      </c>
      <c r="AM37" s="240" t="s">
        <v>521</v>
      </c>
      <c r="AN37" s="240">
        <f>AN38</f>
        <v>1</v>
      </c>
      <c r="AO37" s="240" t="s">
        <v>521</v>
      </c>
      <c r="AP37" s="240" t="s">
        <v>521</v>
      </c>
      <c r="AQ37" s="239">
        <v>0.4</v>
      </c>
      <c r="AR37" s="241">
        <v>0.67700000000000005</v>
      </c>
      <c r="AS37" s="360"/>
      <c r="AU37" s="361"/>
      <c r="AV37" s="362"/>
      <c r="AW37" s="361"/>
      <c r="BB37" s="363"/>
      <c r="BC37" s="363"/>
      <c r="BD37" s="363"/>
      <c r="BE37" s="363"/>
      <c r="BF37" s="363"/>
      <c r="BG37" s="363"/>
      <c r="BH37" s="363"/>
      <c r="BI37" s="363"/>
      <c r="BJ37" s="363"/>
      <c r="BK37" s="363"/>
      <c r="BL37" s="363"/>
      <c r="BM37" s="363"/>
      <c r="BN37" s="363"/>
      <c r="BO37" s="597" t="s">
        <v>966</v>
      </c>
      <c r="BP37" s="598"/>
      <c r="BQ37" s="57"/>
      <c r="BR37" s="597" t="s">
        <v>967</v>
      </c>
      <c r="BS37" s="598"/>
      <c r="BU37" s="95"/>
    </row>
    <row r="38" spans="1:73" s="91" customFormat="1" ht="14.25" customHeight="1" x14ac:dyDescent="0.2">
      <c r="A38" s="390"/>
      <c r="B38" s="384"/>
      <c r="C38" s="238" t="s">
        <v>521</v>
      </c>
      <c r="D38" s="238" t="s">
        <v>521</v>
      </c>
      <c r="E38" s="238" t="s">
        <v>521</v>
      </c>
      <c r="F38" s="317" t="s">
        <v>160</v>
      </c>
      <c r="G38" s="239">
        <v>0.5</v>
      </c>
      <c r="H38" s="239">
        <v>0.5</v>
      </c>
      <c r="I38" s="240">
        <v>1</v>
      </c>
      <c r="J38" s="240">
        <v>4</v>
      </c>
      <c r="K38" s="240">
        <v>4</v>
      </c>
      <c r="L38" s="240">
        <v>3</v>
      </c>
      <c r="M38" s="240">
        <v>4</v>
      </c>
      <c r="N38" s="240">
        <v>0.03</v>
      </c>
      <c r="O38" s="240" t="s">
        <v>280</v>
      </c>
      <c r="P38" s="240" t="s">
        <v>280</v>
      </c>
      <c r="Q38" s="240" t="s">
        <v>280</v>
      </c>
      <c r="R38" s="240" t="s">
        <v>521</v>
      </c>
      <c r="S38" s="240" t="s">
        <v>521</v>
      </c>
      <c r="T38" s="240" t="s">
        <v>521</v>
      </c>
      <c r="U38" s="240" t="s">
        <v>521</v>
      </c>
      <c r="V38" s="240" t="s">
        <v>280</v>
      </c>
      <c r="W38" s="240" t="s">
        <v>521</v>
      </c>
      <c r="X38" s="240">
        <v>1.58</v>
      </c>
      <c r="Y38" s="240" t="s">
        <v>521</v>
      </c>
      <c r="Z38" s="240" t="s">
        <v>521</v>
      </c>
      <c r="AA38" s="240" t="s">
        <v>521</v>
      </c>
      <c r="AB38" s="240" t="s">
        <v>521</v>
      </c>
      <c r="AC38" s="240" t="s">
        <v>521</v>
      </c>
      <c r="AD38" s="240" t="s">
        <v>521</v>
      </c>
      <c r="AE38" s="240" t="s">
        <v>521</v>
      </c>
      <c r="AF38" s="240" t="s">
        <v>521</v>
      </c>
      <c r="AG38" s="240" t="s">
        <v>521</v>
      </c>
      <c r="AH38" s="240" t="s">
        <v>521</v>
      </c>
      <c r="AI38" s="240" t="s">
        <v>521</v>
      </c>
      <c r="AJ38" s="240" t="s">
        <v>521</v>
      </c>
      <c r="AK38" s="240" t="s">
        <v>521</v>
      </c>
      <c r="AL38" s="240" t="s">
        <v>521</v>
      </c>
      <c r="AM38" s="240" t="s">
        <v>521</v>
      </c>
      <c r="AN38" s="240">
        <v>1</v>
      </c>
      <c r="AO38" s="240" t="s">
        <v>521</v>
      </c>
      <c r="AP38" s="240" t="s">
        <v>521</v>
      </c>
      <c r="AQ38" s="240" t="s">
        <v>521</v>
      </c>
      <c r="AR38" s="240" t="s">
        <v>521</v>
      </c>
      <c r="AS38" s="360"/>
      <c r="AU38" s="361"/>
      <c r="AV38" s="362"/>
      <c r="AW38" s="361"/>
      <c r="BB38" s="363"/>
      <c r="BC38" s="363"/>
      <c r="BD38" s="363"/>
      <c r="BE38" s="363"/>
      <c r="BF38" s="363"/>
      <c r="BG38" s="363"/>
      <c r="BH38" s="363"/>
      <c r="BI38" s="363"/>
      <c r="BJ38" s="363"/>
      <c r="BK38" s="363"/>
      <c r="BL38" s="363"/>
      <c r="BM38" s="363"/>
      <c r="BN38" s="363"/>
      <c r="BO38" s="112">
        <v>0</v>
      </c>
      <c r="BP38" s="111" t="s">
        <v>503</v>
      </c>
      <c r="BR38" s="112">
        <v>0</v>
      </c>
      <c r="BS38" s="111" t="s">
        <v>503</v>
      </c>
      <c r="BU38" s="95"/>
    </row>
    <row r="39" spans="1:73" s="91" customFormat="1" ht="14.25" customHeight="1" x14ac:dyDescent="0.2">
      <c r="A39" s="390"/>
      <c r="B39" s="384"/>
      <c r="C39" s="238" t="s">
        <v>521</v>
      </c>
      <c r="D39" s="238" t="s">
        <v>521</v>
      </c>
      <c r="E39" s="238" t="s">
        <v>521</v>
      </c>
      <c r="F39" s="317" t="s">
        <v>841</v>
      </c>
      <c r="G39" s="239">
        <v>0.35</v>
      </c>
      <c r="H39" s="239">
        <v>0.65</v>
      </c>
      <c r="I39" s="240">
        <v>0.1333</v>
      </c>
      <c r="J39" s="240">
        <v>0.8</v>
      </c>
      <c r="K39" s="240">
        <v>0.8</v>
      </c>
      <c r="L39" s="240">
        <v>0.66700000000000004</v>
      </c>
      <c r="M39" s="240">
        <v>0.8</v>
      </c>
      <c r="N39" s="240" t="s">
        <v>521</v>
      </c>
      <c r="O39" s="240" t="s">
        <v>280</v>
      </c>
      <c r="P39" s="240" t="s">
        <v>280</v>
      </c>
      <c r="Q39" s="240" t="s">
        <v>280</v>
      </c>
      <c r="R39" s="240" t="s">
        <v>521</v>
      </c>
      <c r="S39" s="240" t="s">
        <v>521</v>
      </c>
      <c r="T39" s="240" t="s">
        <v>521</v>
      </c>
      <c r="U39" s="240" t="s">
        <v>521</v>
      </c>
      <c r="V39" s="240" t="s">
        <v>280</v>
      </c>
      <c r="W39" s="240" t="s">
        <v>521</v>
      </c>
      <c r="X39" s="240" t="s">
        <v>521</v>
      </c>
      <c r="Y39" s="240" t="s">
        <v>521</v>
      </c>
      <c r="Z39" s="240" t="s">
        <v>521</v>
      </c>
      <c r="AA39" s="240" t="s">
        <v>521</v>
      </c>
      <c r="AB39" s="240" t="s">
        <v>521</v>
      </c>
      <c r="AC39" s="240" t="s">
        <v>521</v>
      </c>
      <c r="AD39" s="240" t="s">
        <v>521</v>
      </c>
      <c r="AE39" s="240" t="s">
        <v>521</v>
      </c>
      <c r="AF39" s="240" t="s">
        <v>521</v>
      </c>
      <c r="AG39" s="240" t="s">
        <v>521</v>
      </c>
      <c r="AH39" s="240" t="s">
        <v>521</v>
      </c>
      <c r="AI39" s="240" t="s">
        <v>521</v>
      </c>
      <c r="AJ39" s="240" t="s">
        <v>521</v>
      </c>
      <c r="AK39" s="240" t="s">
        <v>521</v>
      </c>
      <c r="AL39" s="240" t="s">
        <v>521</v>
      </c>
      <c r="AM39" s="240" t="s">
        <v>521</v>
      </c>
      <c r="AN39" s="240" t="s">
        <v>521</v>
      </c>
      <c r="AO39" s="240" t="s">
        <v>521</v>
      </c>
      <c r="AP39" s="240" t="s">
        <v>521</v>
      </c>
      <c r="AQ39" s="240" t="s">
        <v>521</v>
      </c>
      <c r="AR39" s="240" t="s">
        <v>521</v>
      </c>
      <c r="AS39" s="360"/>
      <c r="AU39" s="361"/>
      <c r="AV39" s="362"/>
      <c r="AW39" s="361"/>
      <c r="BB39" s="363"/>
      <c r="BC39" s="363"/>
      <c r="BD39" s="363"/>
      <c r="BE39" s="363"/>
      <c r="BF39" s="363"/>
      <c r="BG39" s="363"/>
      <c r="BH39" s="363"/>
      <c r="BI39" s="363"/>
      <c r="BJ39" s="363"/>
      <c r="BK39" s="363"/>
      <c r="BL39" s="363"/>
      <c r="BM39" s="363"/>
      <c r="BN39" s="363"/>
      <c r="BO39" s="112">
        <v>0.125</v>
      </c>
      <c r="BP39" s="111" t="s">
        <v>504</v>
      </c>
      <c r="BR39" s="112">
        <v>0.125</v>
      </c>
      <c r="BS39" s="111" t="s">
        <v>504</v>
      </c>
      <c r="BU39" s="95"/>
    </row>
    <row r="40" spans="1:73" s="91" customFormat="1" ht="33.75" customHeight="1" x14ac:dyDescent="0.2">
      <c r="A40" s="389" t="s">
        <v>828</v>
      </c>
      <c r="B40" s="384" t="s">
        <v>990</v>
      </c>
      <c r="C40" s="238" t="s">
        <v>521</v>
      </c>
      <c r="D40" s="238">
        <v>362</v>
      </c>
      <c r="E40" s="238">
        <v>9</v>
      </c>
      <c r="F40" s="238" t="s">
        <v>521</v>
      </c>
      <c r="G40" s="396" t="str">
        <f>IF(ISERROR((('Retail calculator'!$P$139/'Retail calculator'!$O$140)*'Activity database'!G41)+(('Retail calculator'!$O$139/'Retail calculator'!$O$140)*'Activity database'!G42)),"Requires building information",(('Retail calculator'!$P$139/'Retail calculator'!$O$140)*'Activity database'!G41)+(('Retail calculator'!$O$139/'Retail calculator'!$O$140)*'Activity database'!G42))</f>
        <v>Requires building information</v>
      </c>
      <c r="H40" s="403" t="str">
        <f>IF(ISERROR((('Retail calculator'!$P$139/'Retail calculator'!$O$140)*'Activity database'!H41)+(('Retail calculator'!$O$139/'Retail calculator'!$O$140)*'Activity database'!H42)),"Requires building information",(('Retail calculator'!$P$139/'Retail calculator'!$O$140)*'Activity database'!H41)+(('Retail calculator'!$O$139/'Retail calculator'!$O$140)*'Activity database'!H42))</f>
        <v>Requires building information</v>
      </c>
      <c r="I40" s="395" t="str">
        <f>IF(ISERROR((('Retail calculator'!$P$139/'Retail calculator'!$O$140)*'Activity database'!I41)+(('Retail calculator'!$O$139/'Retail calculator'!$O$140)*'Activity database'!I42)),"Requires building information",(('Retail calculator'!$P$139/'Retail calculator'!$O$140)*'Activity database'!I41)+(('Retail calculator'!$O$139/'Retail calculator'!$O$140)*'Activity database'!I42))</f>
        <v>Requires building information</v>
      </c>
      <c r="J40" s="395" t="str">
        <f>IF(ISERROR((('Retail calculator'!$P$139/'Retail calculator'!$O$140)*'Activity database'!J41)+(('Retail calculator'!$O$139/'Retail calculator'!$O$140)*'Activity database'!J42)),"Requires building information",(('Retail calculator'!$P$139/'Retail calculator'!$O$140)*'Activity database'!J41)+(('Retail calculator'!$O$139/'Retail calculator'!$O$140)*'Activity database'!J42))</f>
        <v>Requires building information</v>
      </c>
      <c r="K40" s="395" t="str">
        <f>IF(ISERROR((('Retail calculator'!$P$139/'Retail calculator'!$O$140)*'Activity database'!K41)+(('Retail calculator'!$O$139/'Retail calculator'!$O$140)*'Activity database'!K42)),"Requires building information",(('Retail calculator'!$P$139/'Retail calculator'!$O$140)*'Activity database'!K41)+(('Retail calculator'!$O$139/'Retail calculator'!$O$140)*'Activity database'!K42))</f>
        <v>Requires building information</v>
      </c>
      <c r="L40" s="395" t="str">
        <f>IF(ISERROR((('Retail calculator'!$P$139/'Retail calculator'!$O$140)*'Activity database'!L41)+(('Retail calculator'!$O$139/'Retail calculator'!$O$140)*'Activity database'!L42)),"Requires building information",(('Retail calculator'!$P$139/'Retail calculator'!$O$140)*'Activity database'!L41)+(('Retail calculator'!$O$139/'Retail calculator'!$O$140)*'Activity database'!L42))</f>
        <v>Requires building information</v>
      </c>
      <c r="M40" s="395" t="str">
        <f>IF(ISERROR((('Retail calculator'!$P$139/'Retail calculator'!$O$140)*'Activity database'!M41)+(('Retail calculator'!$O$139/'Retail calculator'!$O$140)*'Activity database'!M42)),"Requires building information",(('Retail calculator'!$P$139/'Retail calculator'!$O$140)*'Activity database'!M41)+(('Retail calculator'!$O$139/'Retail calculator'!$O$140)*'Activity database'!M42))</f>
        <v>Requires building information</v>
      </c>
      <c r="N40" s="404" t="str">
        <f>IF(ISERROR('Retail calculator'!$P$139/'Retail calculator'!$O$140)*'Activity database'!N41,"Requires building information",('Retail calculator'!$P$139/'Retail calculator'!$O$140)*'Activity database'!N41)</f>
        <v>Requires building information</v>
      </c>
      <c r="O40" s="240" t="s">
        <v>280</v>
      </c>
      <c r="P40" s="240" t="s">
        <v>280</v>
      </c>
      <c r="Q40" s="240" t="s">
        <v>280</v>
      </c>
      <c r="R40" s="240" t="s">
        <v>521</v>
      </c>
      <c r="S40" s="240" t="s">
        <v>521</v>
      </c>
      <c r="T40" s="240" t="s">
        <v>521</v>
      </c>
      <c r="U40" s="240" t="s">
        <v>521</v>
      </c>
      <c r="V40" s="240" t="s">
        <v>280</v>
      </c>
      <c r="W40" s="240" t="s">
        <v>521</v>
      </c>
      <c r="X40" s="397" t="str">
        <f>IF(ISERROR('Retail calculator'!$P$139/'Retail calculator'!$O$140)*'Activity database'!X41,"Requires building information",('Retail calculator'!$P$139/'Retail calculator'!$O$140)*'Activity database'!X41)</f>
        <v>Requires building information</v>
      </c>
      <c r="Y40" s="240" t="s">
        <v>521</v>
      </c>
      <c r="Z40" s="240" t="s">
        <v>521</v>
      </c>
      <c r="AA40" s="240">
        <v>1</v>
      </c>
      <c r="AB40" s="240">
        <v>1</v>
      </c>
      <c r="AC40" s="241">
        <v>0.25</v>
      </c>
      <c r="AD40" s="240">
        <v>5.6</v>
      </c>
      <c r="AE40" s="240">
        <v>4.37</v>
      </c>
      <c r="AF40" s="240">
        <v>1</v>
      </c>
      <c r="AG40" s="240">
        <v>1</v>
      </c>
      <c r="AH40" s="240" t="s">
        <v>521</v>
      </c>
      <c r="AI40" s="240" t="s">
        <v>521</v>
      </c>
      <c r="AJ40" s="240" t="s">
        <v>521</v>
      </c>
      <c r="AK40" s="240" t="s">
        <v>521</v>
      </c>
      <c r="AL40" s="240" t="s">
        <v>521</v>
      </c>
      <c r="AM40" s="240" t="s">
        <v>521</v>
      </c>
      <c r="AN40" s="240">
        <f>AN41</f>
        <v>1</v>
      </c>
      <c r="AO40" s="240" t="s">
        <v>521</v>
      </c>
      <c r="AP40" s="240" t="s">
        <v>521</v>
      </c>
      <c r="AQ40" s="239">
        <v>0.4</v>
      </c>
      <c r="AR40" s="241">
        <v>0.67700000000000005</v>
      </c>
      <c r="AS40" s="360"/>
      <c r="AU40" s="361"/>
      <c r="AV40" s="362"/>
      <c r="AW40" s="361"/>
      <c r="BB40" s="363"/>
      <c r="BC40" s="363"/>
      <c r="BD40" s="363"/>
      <c r="BE40" s="363"/>
      <c r="BF40" s="363"/>
      <c r="BG40" s="363"/>
      <c r="BH40" s="363"/>
      <c r="BI40" s="363"/>
      <c r="BJ40" s="363"/>
      <c r="BK40" s="363"/>
      <c r="BL40" s="363"/>
      <c r="BM40" s="363"/>
      <c r="BN40" s="363"/>
      <c r="BO40" s="112">
        <v>0.25</v>
      </c>
      <c r="BP40" s="111" t="s">
        <v>505</v>
      </c>
      <c r="BR40" s="112">
        <v>0.25</v>
      </c>
      <c r="BS40" s="111" t="s">
        <v>505</v>
      </c>
      <c r="BU40" s="95"/>
    </row>
    <row r="41" spans="1:73" s="91" customFormat="1" ht="15.75" customHeight="1" x14ac:dyDescent="0.2">
      <c r="A41" s="385"/>
      <c r="B41" s="384"/>
      <c r="C41" s="238" t="s">
        <v>521</v>
      </c>
      <c r="D41" s="238" t="s">
        <v>521</v>
      </c>
      <c r="E41" s="238" t="s">
        <v>521</v>
      </c>
      <c r="F41" s="317" t="s">
        <v>160</v>
      </c>
      <c r="G41" s="239">
        <v>0.5</v>
      </c>
      <c r="H41" s="239">
        <v>0.5</v>
      </c>
      <c r="I41" s="240">
        <v>1</v>
      </c>
      <c r="J41" s="240">
        <v>4</v>
      </c>
      <c r="K41" s="240">
        <v>4</v>
      </c>
      <c r="L41" s="240">
        <v>3</v>
      </c>
      <c r="M41" s="240">
        <v>4</v>
      </c>
      <c r="N41" s="240">
        <v>0.03</v>
      </c>
      <c r="O41" s="240" t="s">
        <v>280</v>
      </c>
      <c r="P41" s="240" t="s">
        <v>280</v>
      </c>
      <c r="Q41" s="240" t="s">
        <v>280</v>
      </c>
      <c r="R41" s="240" t="s">
        <v>521</v>
      </c>
      <c r="S41" s="240" t="s">
        <v>521</v>
      </c>
      <c r="T41" s="240" t="s">
        <v>521</v>
      </c>
      <c r="U41" s="240" t="s">
        <v>521</v>
      </c>
      <c r="V41" s="240" t="s">
        <v>280</v>
      </c>
      <c r="W41" s="240" t="s">
        <v>521</v>
      </c>
      <c r="X41" s="240">
        <v>1.58</v>
      </c>
      <c r="Y41" s="240" t="s">
        <v>521</v>
      </c>
      <c r="Z41" s="240" t="s">
        <v>521</v>
      </c>
      <c r="AA41" s="240" t="s">
        <v>521</v>
      </c>
      <c r="AB41" s="240" t="s">
        <v>521</v>
      </c>
      <c r="AC41" s="240" t="s">
        <v>521</v>
      </c>
      <c r="AD41" s="240" t="s">
        <v>521</v>
      </c>
      <c r="AE41" s="240" t="s">
        <v>521</v>
      </c>
      <c r="AF41" s="240" t="s">
        <v>521</v>
      </c>
      <c r="AG41" s="240" t="s">
        <v>521</v>
      </c>
      <c r="AH41" s="240" t="s">
        <v>521</v>
      </c>
      <c r="AI41" s="240" t="s">
        <v>521</v>
      </c>
      <c r="AJ41" s="240" t="s">
        <v>521</v>
      </c>
      <c r="AK41" s="240" t="s">
        <v>521</v>
      </c>
      <c r="AL41" s="240" t="s">
        <v>521</v>
      </c>
      <c r="AM41" s="240" t="s">
        <v>521</v>
      </c>
      <c r="AN41" s="240">
        <v>1</v>
      </c>
      <c r="AO41" s="240" t="s">
        <v>521</v>
      </c>
      <c r="AP41" s="240" t="s">
        <v>521</v>
      </c>
      <c r="AQ41" s="240" t="s">
        <v>521</v>
      </c>
      <c r="AR41" s="240" t="s">
        <v>521</v>
      </c>
      <c r="AS41" s="360"/>
      <c r="AU41" s="361"/>
      <c r="AV41" s="362"/>
      <c r="AW41" s="361"/>
      <c r="BB41" s="363"/>
      <c r="BC41" s="363"/>
      <c r="BD41" s="363"/>
      <c r="BE41" s="363"/>
      <c r="BF41" s="363"/>
      <c r="BG41" s="363"/>
      <c r="BH41" s="363"/>
      <c r="BI41" s="363"/>
      <c r="BJ41" s="363"/>
      <c r="BK41" s="363"/>
      <c r="BL41" s="363"/>
      <c r="BM41" s="363"/>
      <c r="BN41" s="363"/>
      <c r="BO41" s="112">
        <v>0.35</v>
      </c>
      <c r="BP41" s="111" t="s">
        <v>506</v>
      </c>
      <c r="BR41" s="112">
        <v>0.35</v>
      </c>
      <c r="BS41" s="111" t="s">
        <v>506</v>
      </c>
      <c r="BU41" s="95"/>
    </row>
    <row r="42" spans="1:73" s="91" customFormat="1" ht="15.75" customHeight="1" x14ac:dyDescent="0.2">
      <c r="A42" s="386"/>
      <c r="B42" s="384"/>
      <c r="C42" s="238" t="s">
        <v>521</v>
      </c>
      <c r="D42" s="238" t="s">
        <v>521</v>
      </c>
      <c r="E42" s="238" t="s">
        <v>521</v>
      </c>
      <c r="F42" s="317" t="s">
        <v>841</v>
      </c>
      <c r="G42" s="239">
        <v>0.35</v>
      </c>
      <c r="H42" s="239">
        <v>0.65</v>
      </c>
      <c r="I42" s="240">
        <v>0.1333</v>
      </c>
      <c r="J42" s="240">
        <v>0.8</v>
      </c>
      <c r="K42" s="240">
        <v>0.8</v>
      </c>
      <c r="L42" s="240">
        <v>0.66700000000000004</v>
      </c>
      <c r="M42" s="240">
        <v>0.8</v>
      </c>
      <c r="N42" s="240" t="s">
        <v>521</v>
      </c>
      <c r="O42" s="240" t="s">
        <v>280</v>
      </c>
      <c r="P42" s="240" t="s">
        <v>280</v>
      </c>
      <c r="Q42" s="240" t="s">
        <v>280</v>
      </c>
      <c r="R42" s="240" t="s">
        <v>521</v>
      </c>
      <c r="S42" s="240" t="s">
        <v>521</v>
      </c>
      <c r="T42" s="240" t="s">
        <v>521</v>
      </c>
      <c r="U42" s="240" t="s">
        <v>521</v>
      </c>
      <c r="V42" s="240" t="s">
        <v>280</v>
      </c>
      <c r="W42" s="240" t="s">
        <v>521</v>
      </c>
      <c r="X42" s="240" t="s">
        <v>521</v>
      </c>
      <c r="Y42" s="240" t="s">
        <v>521</v>
      </c>
      <c r="Z42" s="240" t="s">
        <v>521</v>
      </c>
      <c r="AA42" s="240" t="s">
        <v>521</v>
      </c>
      <c r="AB42" s="240" t="s">
        <v>521</v>
      </c>
      <c r="AC42" s="240" t="s">
        <v>521</v>
      </c>
      <c r="AD42" s="240" t="s">
        <v>521</v>
      </c>
      <c r="AE42" s="240" t="s">
        <v>521</v>
      </c>
      <c r="AF42" s="240" t="s">
        <v>521</v>
      </c>
      <c r="AG42" s="240" t="s">
        <v>521</v>
      </c>
      <c r="AH42" s="240" t="s">
        <v>521</v>
      </c>
      <c r="AI42" s="240" t="s">
        <v>521</v>
      </c>
      <c r="AJ42" s="240" t="s">
        <v>521</v>
      </c>
      <c r="AK42" s="240" t="s">
        <v>521</v>
      </c>
      <c r="AL42" s="240" t="s">
        <v>521</v>
      </c>
      <c r="AM42" s="240" t="s">
        <v>521</v>
      </c>
      <c r="AN42" s="240" t="s">
        <v>521</v>
      </c>
      <c r="AO42" s="240" t="s">
        <v>521</v>
      </c>
      <c r="AP42" s="240" t="s">
        <v>521</v>
      </c>
      <c r="AQ42" s="240" t="s">
        <v>521</v>
      </c>
      <c r="AR42" s="240" t="s">
        <v>521</v>
      </c>
      <c r="AS42" s="360"/>
      <c r="AU42" s="361"/>
      <c r="AV42" s="362"/>
      <c r="AW42" s="361"/>
      <c r="BB42" s="363"/>
      <c r="BC42" s="363"/>
      <c r="BD42" s="363"/>
      <c r="BE42" s="363"/>
      <c r="BF42" s="363"/>
      <c r="BG42" s="363"/>
      <c r="BH42" s="363"/>
      <c r="BI42" s="363"/>
      <c r="BJ42" s="363"/>
      <c r="BK42" s="363"/>
      <c r="BL42" s="363"/>
      <c r="BM42" s="363"/>
      <c r="BN42" s="363"/>
      <c r="BO42" s="112">
        <v>0.45</v>
      </c>
      <c r="BP42" s="111" t="s">
        <v>507</v>
      </c>
      <c r="BR42" s="112">
        <v>0.4</v>
      </c>
      <c r="BS42" s="111" t="s">
        <v>507</v>
      </c>
      <c r="BU42" s="95"/>
    </row>
    <row r="43" spans="1:73" s="366" customFormat="1" ht="38.25" customHeight="1" x14ac:dyDescent="0.2">
      <c r="A43" s="388" t="s">
        <v>826</v>
      </c>
      <c r="B43" s="369" t="s">
        <v>825</v>
      </c>
      <c r="C43" s="365">
        <v>0.14299999999999999</v>
      </c>
      <c r="D43" s="249"/>
      <c r="E43" s="249"/>
      <c r="F43" s="249"/>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1"/>
      <c r="AE43" s="251"/>
      <c r="AF43" s="251"/>
      <c r="AG43" s="251"/>
      <c r="AH43" s="251"/>
      <c r="AI43" s="251"/>
      <c r="AJ43" s="251"/>
      <c r="AK43" s="251"/>
      <c r="AL43" s="251"/>
      <c r="AM43" s="251"/>
      <c r="AN43" s="251"/>
      <c r="AO43" s="251"/>
      <c r="AP43" s="251"/>
      <c r="AQ43" s="251"/>
      <c r="AR43" s="251"/>
      <c r="AS43" s="360"/>
      <c r="AU43" s="91"/>
      <c r="AV43" s="91"/>
      <c r="AW43" s="91"/>
      <c r="AX43" s="91"/>
      <c r="AY43" s="91"/>
      <c r="AZ43" s="91"/>
      <c r="BA43" s="91"/>
      <c r="BB43" s="363"/>
      <c r="BC43" s="363"/>
      <c r="BD43" s="363"/>
      <c r="BE43" s="363"/>
      <c r="BF43" s="363"/>
      <c r="BG43" s="363"/>
      <c r="BH43" s="363"/>
      <c r="BI43" s="363"/>
      <c r="BJ43" s="363"/>
      <c r="BK43" s="363"/>
      <c r="BL43" s="363"/>
      <c r="BM43" s="363"/>
      <c r="BN43" s="363"/>
      <c r="BO43" s="112">
        <v>0.55000000000000004</v>
      </c>
      <c r="BP43" s="111" t="s">
        <v>508</v>
      </c>
      <c r="BQ43" s="91"/>
      <c r="BR43" s="112">
        <v>0.5</v>
      </c>
      <c r="BS43" s="111" t="s">
        <v>508</v>
      </c>
      <c r="BT43" s="91"/>
      <c r="BU43" s="95"/>
    </row>
    <row r="44" spans="1:73" s="91" customFormat="1" ht="36" customHeight="1" x14ac:dyDescent="0.2">
      <c r="A44" s="369" t="s">
        <v>831</v>
      </c>
      <c r="B44" s="369" t="s">
        <v>832</v>
      </c>
      <c r="C44" s="365">
        <v>0.5</v>
      </c>
      <c r="D44" s="249"/>
      <c r="E44" s="249"/>
      <c r="F44" s="249"/>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1"/>
      <c r="AE44" s="251"/>
      <c r="AF44" s="251"/>
      <c r="AG44" s="251"/>
      <c r="AH44" s="251"/>
      <c r="AI44" s="251"/>
      <c r="AJ44" s="251"/>
      <c r="AK44" s="251"/>
      <c r="AL44" s="251"/>
      <c r="AM44" s="251"/>
      <c r="AN44" s="251"/>
      <c r="AO44" s="251"/>
      <c r="AP44" s="251"/>
      <c r="AQ44" s="251"/>
      <c r="AR44" s="251"/>
      <c r="AS44" s="360"/>
      <c r="AU44" s="366"/>
      <c r="AV44" s="366"/>
      <c r="AW44" s="366"/>
      <c r="AX44" s="366"/>
      <c r="AY44" s="366"/>
      <c r="AZ44" s="366"/>
      <c r="BA44" s="366"/>
      <c r="BB44" s="366"/>
      <c r="BC44" s="366"/>
      <c r="BD44" s="366"/>
      <c r="BE44" s="366"/>
      <c r="BF44" s="366"/>
      <c r="BG44" s="366"/>
      <c r="BH44" s="366"/>
      <c r="BI44" s="366"/>
      <c r="BJ44" s="366"/>
      <c r="BK44" s="366"/>
      <c r="BL44" s="366"/>
      <c r="BM44" s="366"/>
      <c r="BN44" s="366"/>
      <c r="BO44" s="112">
        <v>0.65</v>
      </c>
      <c r="BP44" s="111" t="s">
        <v>33</v>
      </c>
      <c r="BQ44" s="366"/>
      <c r="BR44" s="112">
        <v>0.6</v>
      </c>
      <c r="BS44" s="111" t="s">
        <v>33</v>
      </c>
      <c r="BU44" s="95"/>
    </row>
    <row r="45" spans="1:73" s="91" customFormat="1" ht="32.1" customHeight="1" x14ac:dyDescent="0.2">
      <c r="A45" s="369" t="s">
        <v>829</v>
      </c>
      <c r="B45" s="369" t="s">
        <v>830</v>
      </c>
      <c r="C45" s="365">
        <v>1.43</v>
      </c>
      <c r="D45" s="249"/>
      <c r="E45" s="249"/>
      <c r="F45" s="249"/>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1"/>
      <c r="AE45" s="251"/>
      <c r="AF45" s="251"/>
      <c r="AG45" s="251"/>
      <c r="AH45" s="251"/>
      <c r="AI45" s="251"/>
      <c r="AJ45" s="251"/>
      <c r="AK45" s="251"/>
      <c r="AL45" s="251"/>
      <c r="AM45" s="251"/>
      <c r="AN45" s="251"/>
      <c r="AO45" s="251"/>
      <c r="AP45" s="251"/>
      <c r="AQ45" s="251"/>
      <c r="AR45" s="251"/>
      <c r="AS45" s="360"/>
      <c r="AU45" s="366"/>
      <c r="AV45" s="366"/>
      <c r="AW45" s="366"/>
      <c r="AX45" s="366"/>
      <c r="AY45" s="366"/>
      <c r="AZ45" s="366"/>
      <c r="BA45" s="366"/>
      <c r="BB45" s="366"/>
      <c r="BC45" s="366"/>
      <c r="BD45" s="366"/>
      <c r="BE45" s="366"/>
      <c r="BF45" s="366"/>
      <c r="BG45" s="366"/>
      <c r="BH45" s="366"/>
      <c r="BI45" s="366"/>
      <c r="BJ45" s="366"/>
      <c r="BK45" s="366"/>
      <c r="BL45" s="366"/>
      <c r="BM45" s="366"/>
      <c r="BN45" s="366"/>
      <c r="BO45" s="52"/>
      <c r="BP45" s="364"/>
      <c r="BQ45" s="366"/>
      <c r="BS45" s="95"/>
    </row>
    <row r="46" spans="1:73" s="366" customFormat="1" ht="32.1" customHeight="1" x14ac:dyDescent="0.2">
      <c r="A46" s="369" t="s">
        <v>842</v>
      </c>
      <c r="B46" s="369" t="s">
        <v>843</v>
      </c>
      <c r="C46" s="365">
        <v>9.5142857142857168E-2</v>
      </c>
      <c r="D46" s="249"/>
      <c r="E46" s="249"/>
      <c r="F46" s="249"/>
      <c r="G46" s="250"/>
      <c r="H46" s="250"/>
      <c r="I46" s="250"/>
      <c r="J46" s="250"/>
      <c r="K46" s="250"/>
      <c r="L46" s="250"/>
      <c r="M46" s="250"/>
      <c r="N46" s="250"/>
      <c r="O46" s="250"/>
      <c r="P46" s="250"/>
      <c r="Q46" s="250"/>
      <c r="R46" s="353" t="str">
        <f>IF(ISERROR('Retail calculator'!$P$139/'Retail calculator'!$O$140)*1,"Requires building information",('Retail calculator'!$P$139/'Retail calculator'!$O$140)*1)</f>
        <v>Requires building information</v>
      </c>
      <c r="S46" s="250"/>
      <c r="T46" s="250"/>
      <c r="U46" s="349" t="str">
        <f>IF(ISERROR('Retail calculator'!$P$139/'Retail calculator'!$O$140)*0.04,"Requires building information",('Retail calculator'!$P$139/'Retail calculator'!$O$140)*0.04)</f>
        <v>Requires building information</v>
      </c>
      <c r="V46" s="250"/>
      <c r="W46" s="250"/>
      <c r="X46" s="250"/>
      <c r="Y46" s="250"/>
      <c r="Z46" s="250"/>
      <c r="AA46" s="250"/>
      <c r="AB46" s="250"/>
      <c r="AC46" s="250"/>
      <c r="AD46" s="251"/>
      <c r="AE46" s="251"/>
      <c r="AF46" s="251"/>
      <c r="AG46" s="251"/>
      <c r="AH46" s="245">
        <v>0.67</v>
      </c>
      <c r="AI46" s="251"/>
      <c r="AJ46" s="251"/>
      <c r="AK46" s="245">
        <v>1</v>
      </c>
      <c r="AL46" s="245" t="s">
        <v>280</v>
      </c>
      <c r="AM46" s="251"/>
      <c r="AN46" s="251"/>
      <c r="AO46" s="251"/>
      <c r="AP46" s="251"/>
      <c r="AQ46" s="251"/>
      <c r="AR46" s="251"/>
      <c r="AS46" s="360"/>
      <c r="AU46" s="91"/>
      <c r="AV46" s="91"/>
      <c r="AW46" s="91"/>
      <c r="AX46" s="91"/>
      <c r="AY46" s="91"/>
      <c r="AZ46" s="91"/>
      <c r="BA46" s="91"/>
      <c r="BB46" s="91"/>
      <c r="BC46" s="91"/>
      <c r="BD46" s="91"/>
      <c r="BE46" s="91"/>
      <c r="BF46" s="91"/>
      <c r="BG46" s="91"/>
      <c r="BH46" s="91"/>
      <c r="BI46" s="91"/>
      <c r="BJ46" s="91"/>
      <c r="BK46" s="91"/>
      <c r="BL46" s="91"/>
      <c r="BM46" s="91"/>
      <c r="BN46" s="91"/>
      <c r="BO46" s="368"/>
      <c r="BP46" s="364"/>
      <c r="BQ46" s="91"/>
      <c r="BR46" s="91"/>
      <c r="BU46" s="367"/>
    </row>
    <row r="47" spans="1:73" s="91" customFormat="1" ht="32.1" customHeight="1" x14ac:dyDescent="0.2">
      <c r="A47" s="369" t="s">
        <v>804</v>
      </c>
      <c r="B47" s="369" t="s">
        <v>822</v>
      </c>
      <c r="C47" s="108">
        <v>4.9700000000000001E-2</v>
      </c>
      <c r="D47" s="249"/>
      <c r="E47" s="249"/>
      <c r="F47" s="249"/>
      <c r="G47" s="250"/>
      <c r="H47" s="250"/>
      <c r="I47" s="250"/>
      <c r="J47" s="250"/>
      <c r="K47" s="250"/>
      <c r="L47" s="250"/>
      <c r="M47" s="250"/>
      <c r="N47" s="250"/>
      <c r="O47" s="250"/>
      <c r="P47" s="250"/>
      <c r="Q47" s="250"/>
      <c r="R47" s="250"/>
      <c r="S47" s="245" t="s">
        <v>101</v>
      </c>
      <c r="T47" s="250"/>
      <c r="U47" s="245" t="s">
        <v>101</v>
      </c>
      <c r="V47" s="244" t="s">
        <v>280</v>
      </c>
      <c r="W47" s="245" t="s">
        <v>101</v>
      </c>
      <c r="X47" s="250"/>
      <c r="Y47" s="245" t="str">
        <f>IF('Retail calculator'!F23="yes",'Retail calculator'!G23*0.993*2.674,"see note")</f>
        <v>see note</v>
      </c>
      <c r="Z47" s="245" t="str">
        <f>IF('Retail calculator'!F23="yes",'Retail calculator'!G23*6.314*0.993,"See note")</f>
        <v>See note</v>
      </c>
      <c r="AA47" s="250"/>
      <c r="AB47" s="250"/>
      <c r="AC47" s="250"/>
      <c r="AD47" s="251"/>
      <c r="AE47" s="251"/>
      <c r="AF47" s="251"/>
      <c r="AG47" s="251"/>
      <c r="AH47" s="251"/>
      <c r="AI47" s="245">
        <v>60</v>
      </c>
      <c r="AJ47" s="251"/>
      <c r="AK47" s="247">
        <v>0.248</v>
      </c>
      <c r="AL47" s="245" t="s">
        <v>280</v>
      </c>
      <c r="AM47" s="245">
        <v>30</v>
      </c>
      <c r="AN47" s="251"/>
      <c r="AO47" s="245">
        <v>1</v>
      </c>
      <c r="AP47" s="245">
        <v>1</v>
      </c>
      <c r="AQ47" s="251"/>
      <c r="AR47" s="251"/>
      <c r="AS47" s="360"/>
      <c r="AU47" s="366"/>
      <c r="AV47" s="366"/>
      <c r="AW47" s="366"/>
      <c r="AX47" s="366"/>
      <c r="AY47" s="366"/>
      <c r="AZ47" s="366"/>
      <c r="BA47" s="366"/>
      <c r="BB47" s="366"/>
      <c r="BC47" s="366"/>
      <c r="BD47" s="366"/>
      <c r="BE47" s="366"/>
      <c r="BF47" s="366"/>
      <c r="BG47" s="366"/>
      <c r="BH47" s="366"/>
      <c r="BI47" s="366"/>
      <c r="BJ47" s="366"/>
      <c r="BK47" s="366"/>
      <c r="BL47" s="366"/>
      <c r="BM47" s="366"/>
      <c r="BN47" s="366"/>
      <c r="BO47" s="57"/>
      <c r="BP47" s="364"/>
      <c r="BQ47" s="366"/>
      <c r="BR47" s="366"/>
      <c r="BU47" s="95"/>
    </row>
    <row r="48" spans="1:73" s="91" customFormat="1" ht="32.1" customHeight="1" x14ac:dyDescent="0.2">
      <c r="A48" s="369" t="s">
        <v>379</v>
      </c>
      <c r="B48" s="369" t="s">
        <v>823</v>
      </c>
      <c r="C48" s="365">
        <v>1.0999999999999999E-2</v>
      </c>
      <c r="D48" s="249"/>
      <c r="E48" s="249"/>
      <c r="F48" s="249"/>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1"/>
      <c r="AE48" s="251"/>
      <c r="AF48" s="251"/>
      <c r="AG48" s="251"/>
      <c r="AH48" s="251"/>
      <c r="AI48" s="251"/>
      <c r="AJ48" s="251"/>
      <c r="AK48" s="251"/>
      <c r="AL48" s="251"/>
      <c r="AM48" s="251"/>
      <c r="AN48" s="251"/>
      <c r="AO48" s="251"/>
      <c r="AP48" s="251"/>
      <c r="AQ48" s="251"/>
      <c r="AR48" s="251"/>
      <c r="AS48" s="360"/>
      <c r="AU48" s="366"/>
      <c r="AV48" s="366"/>
      <c r="AW48" s="366"/>
      <c r="AX48" s="366"/>
      <c r="AY48" s="366"/>
      <c r="AZ48" s="366"/>
      <c r="BA48" s="366"/>
      <c r="BO48" s="57"/>
      <c r="BP48" s="364"/>
      <c r="BU48" s="95"/>
    </row>
    <row r="49" spans="1:73" s="91" customFormat="1" ht="32.1" customHeight="1" x14ac:dyDescent="0.2">
      <c r="A49" s="369" t="s">
        <v>818</v>
      </c>
      <c r="B49" s="369" t="s">
        <v>819</v>
      </c>
      <c r="C49" s="365">
        <v>6.8000000000000005E-2</v>
      </c>
      <c r="D49" s="249"/>
      <c r="E49" s="249"/>
      <c r="F49" s="249"/>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1"/>
      <c r="AE49" s="251"/>
      <c r="AF49" s="251"/>
      <c r="AG49" s="251"/>
      <c r="AH49" s="251"/>
      <c r="AI49" s="251"/>
      <c r="AJ49" s="251"/>
      <c r="AK49" s="251"/>
      <c r="AL49" s="251"/>
      <c r="AM49" s="251"/>
      <c r="AN49" s="251"/>
      <c r="AO49" s="251"/>
      <c r="AP49" s="251"/>
      <c r="AQ49" s="251"/>
      <c r="AR49" s="251"/>
      <c r="AS49" s="360"/>
      <c r="AU49" s="366"/>
      <c r="AV49" s="366"/>
      <c r="AW49" s="366"/>
      <c r="AX49" s="366"/>
      <c r="AY49" s="366"/>
      <c r="AZ49" s="366"/>
      <c r="BA49" s="366"/>
      <c r="BO49" s="17"/>
      <c r="BP49" s="21"/>
      <c r="BU49" s="95"/>
    </row>
    <row r="50" spans="1:73" ht="32.1" customHeight="1" x14ac:dyDescent="0.2">
      <c r="A50" s="236" t="s">
        <v>163</v>
      </c>
      <c r="B50" s="237" t="s">
        <v>991</v>
      </c>
      <c r="C50" s="238"/>
      <c r="D50" s="238"/>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v>1</v>
      </c>
      <c r="AO50" s="238"/>
      <c r="AP50" s="238"/>
      <c r="AQ50" s="238"/>
      <c r="AR50" s="238"/>
      <c r="AS50" s="25"/>
      <c r="BP50" s="21"/>
    </row>
    <row r="51" spans="1:73" ht="52.5" customHeight="1" x14ac:dyDescent="0.2">
      <c r="A51" s="371" t="s">
        <v>380</v>
      </c>
      <c r="B51" s="369" t="s">
        <v>499</v>
      </c>
      <c r="C51" s="46">
        <v>0.2</v>
      </c>
      <c r="D51" s="34"/>
      <c r="E51" s="34"/>
      <c r="F51" s="34"/>
      <c r="G51" s="65"/>
      <c r="H51" s="65"/>
      <c r="I51" s="46"/>
      <c r="J51" s="46"/>
      <c r="K51" s="46"/>
      <c r="L51" s="46"/>
      <c r="M51" s="46"/>
      <c r="N51" s="46"/>
      <c r="O51" s="46"/>
      <c r="P51" s="46"/>
      <c r="Q51" s="46"/>
      <c r="R51" s="46"/>
      <c r="S51" s="46"/>
      <c r="T51" s="46"/>
      <c r="U51" s="46"/>
      <c r="V51" s="46"/>
      <c r="W51" s="46"/>
      <c r="X51" s="46"/>
      <c r="Y51" s="46"/>
      <c r="Z51" s="46"/>
      <c r="AA51" s="46"/>
      <c r="AB51" s="46"/>
      <c r="AC51" s="66"/>
      <c r="AD51" s="46"/>
      <c r="AE51" s="46"/>
      <c r="AF51" s="46"/>
      <c r="AG51" s="46"/>
      <c r="AH51" s="46"/>
      <c r="AI51" s="46"/>
      <c r="AJ51" s="46"/>
      <c r="AK51" s="47"/>
      <c r="AL51" s="46"/>
      <c r="AM51" s="46"/>
      <c r="AN51" s="47">
        <v>1</v>
      </c>
      <c r="AO51" s="47"/>
      <c r="AP51" s="47"/>
      <c r="AQ51" s="67"/>
      <c r="AR51" s="67"/>
      <c r="AS51" s="25"/>
      <c r="AT51" s="312"/>
      <c r="BO51" s="18"/>
      <c r="BP51" s="21"/>
      <c r="BU51"/>
    </row>
    <row r="52" spans="1:73" ht="32.1" customHeight="1" x14ac:dyDescent="0.2">
      <c r="A52" s="369" t="s">
        <v>381</v>
      </c>
      <c r="B52" s="369" t="s">
        <v>619</v>
      </c>
      <c r="C52" s="64">
        <v>0.108</v>
      </c>
      <c r="D52" s="34"/>
      <c r="E52" s="34"/>
      <c r="F52" s="34"/>
      <c r="G52" s="65"/>
      <c r="H52" s="65"/>
      <c r="I52" s="46"/>
      <c r="J52" s="46"/>
      <c r="K52" s="46"/>
      <c r="L52" s="46"/>
      <c r="M52" s="46"/>
      <c r="N52" s="46"/>
      <c r="O52" s="46"/>
      <c r="P52" s="46"/>
      <c r="Q52" s="46"/>
      <c r="R52" s="46"/>
      <c r="S52" s="46"/>
      <c r="T52" s="46"/>
      <c r="U52" s="46"/>
      <c r="V52" s="46"/>
      <c r="W52" s="46"/>
      <c r="X52" s="46"/>
      <c r="Y52" s="46"/>
      <c r="Z52" s="46"/>
      <c r="AA52" s="46">
        <v>1</v>
      </c>
      <c r="AB52" s="46">
        <v>1</v>
      </c>
      <c r="AC52" s="66"/>
      <c r="AD52" s="46">
        <v>5.6</v>
      </c>
      <c r="AE52" s="46">
        <v>4.37</v>
      </c>
      <c r="AF52" s="46">
        <v>1</v>
      </c>
      <c r="AG52" s="46">
        <v>1</v>
      </c>
      <c r="AH52" s="47">
        <v>0.44</v>
      </c>
      <c r="AI52" s="47"/>
      <c r="AJ52" s="47"/>
      <c r="AK52" s="47"/>
      <c r="AL52" s="46"/>
      <c r="AM52" s="46"/>
      <c r="AN52" s="47">
        <v>1</v>
      </c>
      <c r="AO52" s="47"/>
      <c r="AP52" s="47"/>
      <c r="AQ52" s="67"/>
      <c r="AR52" s="67"/>
      <c r="AS52" s="25"/>
      <c r="BP52" s="21"/>
      <c r="BU52"/>
    </row>
    <row r="53" spans="1:73" ht="32.1" customHeight="1" x14ac:dyDescent="0.2">
      <c r="A53" s="371" t="s">
        <v>382</v>
      </c>
      <c r="B53" s="369" t="s">
        <v>620</v>
      </c>
      <c r="C53" s="34">
        <v>0.109</v>
      </c>
      <c r="D53" s="34"/>
      <c r="E53" s="34"/>
      <c r="F53" s="34"/>
      <c r="G53" s="65"/>
      <c r="H53" s="65"/>
      <c r="I53" s="46"/>
      <c r="J53" s="46"/>
      <c r="K53" s="46"/>
      <c r="L53" s="46"/>
      <c r="M53" s="46"/>
      <c r="N53" s="46"/>
      <c r="O53" s="46"/>
      <c r="P53" s="46"/>
      <c r="Q53" s="46"/>
      <c r="R53" s="46"/>
      <c r="S53" s="46"/>
      <c r="T53" s="46"/>
      <c r="U53" s="46"/>
      <c r="V53" s="46"/>
      <c r="W53" s="46"/>
      <c r="X53" s="46"/>
      <c r="Y53" s="46"/>
      <c r="Z53" s="46"/>
      <c r="AA53" s="46"/>
      <c r="AB53" s="46"/>
      <c r="AC53" s="66"/>
      <c r="AD53" s="46"/>
      <c r="AE53" s="46"/>
      <c r="AF53" s="46"/>
      <c r="AG53" s="46"/>
      <c r="AH53" s="46"/>
      <c r="AI53" s="46"/>
      <c r="AJ53" s="46"/>
      <c r="AK53" s="47"/>
      <c r="AL53" s="46"/>
      <c r="AM53" s="46"/>
      <c r="AN53" s="47">
        <v>1</v>
      </c>
      <c r="AO53" s="47"/>
      <c r="AP53" s="47"/>
      <c r="AQ53" s="67"/>
      <c r="AR53" s="67"/>
      <c r="AS53" s="25"/>
      <c r="BP53" s="20"/>
      <c r="BQ53"/>
      <c r="BU53"/>
    </row>
    <row r="54" spans="1:73" ht="32.1" customHeight="1" x14ac:dyDescent="0.2">
      <c r="C54" s="85"/>
      <c r="D54" s="102"/>
      <c r="E54" s="377"/>
      <c r="G54" s="103"/>
      <c r="H54" s="103"/>
      <c r="I54" s="104"/>
      <c r="J54" s="104"/>
      <c r="K54" s="104"/>
      <c r="L54" s="104"/>
      <c r="M54" s="104"/>
      <c r="N54" s="104"/>
      <c r="O54" s="104"/>
      <c r="P54" s="104"/>
      <c r="Q54" s="104"/>
      <c r="R54" s="104"/>
      <c r="S54" s="104"/>
      <c r="T54" s="104"/>
      <c r="U54" s="104"/>
      <c r="V54" s="104"/>
      <c r="W54" s="104"/>
      <c r="X54" s="104"/>
      <c r="Y54" s="104"/>
      <c r="Z54" s="88"/>
      <c r="AA54" s="104"/>
      <c r="AB54" s="104"/>
      <c r="AC54" s="105"/>
      <c r="AD54" s="104"/>
      <c r="AE54" s="104"/>
      <c r="AF54" s="104"/>
      <c r="AG54" s="104"/>
      <c r="AH54" s="104"/>
      <c r="AI54" s="104"/>
      <c r="AJ54" s="104"/>
      <c r="AK54" s="104"/>
      <c r="AL54" s="104"/>
      <c r="AM54" s="104"/>
      <c r="AN54" s="104"/>
      <c r="AO54" s="104"/>
      <c r="AP54" s="104"/>
      <c r="AQ54" s="104"/>
      <c r="AR54" s="104"/>
      <c r="AS54" s="25"/>
      <c r="AU54" s="24"/>
      <c r="AV54" s="24"/>
      <c r="AW54" s="24"/>
      <c r="AX54" s="24"/>
      <c r="AY54" s="24"/>
      <c r="AZ54" s="24"/>
      <c r="BA54" s="24"/>
      <c r="BP54" s="20"/>
    </row>
    <row r="55" spans="1:73" ht="32.1" customHeight="1" x14ac:dyDescent="0.2">
      <c r="A55" s="356" t="s">
        <v>794</v>
      </c>
      <c r="C55" s="376"/>
      <c r="D55" s="102"/>
      <c r="E55" s="102"/>
      <c r="F55" s="85"/>
      <c r="G55" s="378"/>
      <c r="H55" s="378"/>
      <c r="I55" s="104"/>
      <c r="J55" s="104"/>
      <c r="K55" s="104"/>
      <c r="L55" s="104"/>
      <c r="M55" s="104"/>
      <c r="N55" s="104"/>
      <c r="O55" s="104"/>
      <c r="P55" s="104"/>
      <c r="Q55" s="104"/>
      <c r="R55" s="104"/>
      <c r="S55" s="104"/>
      <c r="T55" s="104"/>
      <c r="U55" s="104"/>
      <c r="V55" s="104"/>
      <c r="W55" s="104"/>
      <c r="X55" s="104"/>
      <c r="Y55" s="393" t="s">
        <v>849</v>
      </c>
      <c r="Z55" s="393"/>
      <c r="AA55" s="104"/>
      <c r="AB55" s="104"/>
      <c r="AC55" s="105"/>
      <c r="AD55" s="104"/>
      <c r="AE55" s="104"/>
      <c r="AF55" s="104"/>
      <c r="AG55" s="104"/>
      <c r="AH55" s="104"/>
      <c r="AI55" s="104"/>
      <c r="AJ55" s="104"/>
      <c r="AK55" s="104"/>
      <c r="AL55" s="104"/>
      <c r="AM55" s="104"/>
      <c r="AN55" s="104"/>
      <c r="AO55" s="104"/>
      <c r="AP55" s="104"/>
      <c r="AQ55" s="104"/>
      <c r="AR55" s="104"/>
      <c r="AS55" s="25"/>
      <c r="AU55" s="24"/>
      <c r="AV55" s="24"/>
      <c r="AW55" s="24"/>
      <c r="AX55" s="24"/>
      <c r="AY55" s="24"/>
      <c r="AZ55" s="24"/>
      <c r="BA55" s="24"/>
      <c r="BP55" s="21"/>
    </row>
    <row r="56" spans="1:73" ht="32.1" customHeight="1" x14ac:dyDescent="0.2">
      <c r="C56" s="376"/>
      <c r="D56" s="102"/>
      <c r="E56" s="102"/>
      <c r="F56" s="102"/>
      <c r="G56" s="103"/>
      <c r="H56" s="103"/>
      <c r="I56" s="104"/>
      <c r="J56" s="104"/>
      <c r="K56" s="104"/>
      <c r="L56" s="104"/>
      <c r="M56" s="104"/>
      <c r="N56" s="104"/>
      <c r="O56" s="104"/>
      <c r="P56" s="104"/>
      <c r="Q56" s="104"/>
      <c r="R56" s="104"/>
      <c r="S56" s="104"/>
      <c r="T56" s="104"/>
      <c r="U56" s="104"/>
      <c r="V56" s="104"/>
      <c r="W56" s="104"/>
      <c r="X56" s="104"/>
      <c r="Y56" s="104"/>
      <c r="Z56" s="104"/>
      <c r="AA56" s="104"/>
      <c r="AB56" s="104"/>
      <c r="AC56" s="105"/>
      <c r="AD56" s="104"/>
      <c r="AE56" s="104"/>
      <c r="AF56" s="104"/>
      <c r="AG56" s="104"/>
      <c r="AH56" s="104"/>
      <c r="AI56" s="104"/>
      <c r="AJ56" s="104"/>
      <c r="AK56" s="104"/>
      <c r="AL56" s="104"/>
      <c r="AM56" s="104"/>
      <c r="AN56" s="104"/>
      <c r="AO56" s="104"/>
      <c r="AP56" s="104"/>
      <c r="AQ56" s="104"/>
      <c r="AR56" s="104"/>
      <c r="AS56" s="25"/>
      <c r="AU56" s="24"/>
      <c r="AV56" s="24"/>
      <c r="AW56" s="24"/>
      <c r="AX56" s="24"/>
      <c r="AY56" s="24"/>
      <c r="AZ56" s="24"/>
      <c r="BA56" s="24"/>
      <c r="BO56" s="18"/>
      <c r="BP56" s="22"/>
    </row>
    <row r="57" spans="1:73" ht="32.1" customHeight="1" x14ac:dyDescent="0.2">
      <c r="A57" s="26" t="s">
        <v>175</v>
      </c>
      <c r="B57" s="12"/>
      <c r="C57" s="36"/>
      <c r="D57" s="36"/>
      <c r="E57" s="36"/>
      <c r="F57" s="36"/>
      <c r="G57" s="68"/>
      <c r="H57" s="68"/>
      <c r="I57" s="48"/>
      <c r="J57" s="48"/>
      <c r="K57" s="48"/>
      <c r="L57" s="48"/>
      <c r="M57" s="48"/>
      <c r="N57" s="48"/>
      <c r="O57" s="48"/>
      <c r="P57" s="48"/>
      <c r="Q57" s="48"/>
      <c r="R57" s="48"/>
      <c r="S57" s="48"/>
      <c r="T57" s="48"/>
      <c r="U57" s="48"/>
      <c r="V57" s="48"/>
      <c r="W57" s="48"/>
      <c r="X57" s="48"/>
      <c r="Y57" s="48"/>
      <c r="Z57" s="48"/>
      <c r="AA57" s="48">
        <v>1</v>
      </c>
      <c r="AB57" s="48">
        <v>1</v>
      </c>
      <c r="AC57" s="69"/>
      <c r="AD57" s="48">
        <v>5.6</v>
      </c>
      <c r="AE57" s="48">
        <v>4.37</v>
      </c>
      <c r="AF57" s="48">
        <v>1</v>
      </c>
      <c r="AG57" s="48">
        <v>1</v>
      </c>
      <c r="AH57" s="70">
        <v>0.44</v>
      </c>
      <c r="AI57" s="70"/>
      <c r="AJ57" s="70"/>
      <c r="AK57" s="70"/>
      <c r="AL57" s="48"/>
      <c r="AM57" s="48"/>
      <c r="AN57" s="70">
        <v>1</v>
      </c>
      <c r="AO57" s="70"/>
      <c r="AP57" s="70"/>
      <c r="AQ57" s="67"/>
      <c r="AR57" s="67"/>
      <c r="AS57" s="25"/>
      <c r="BP57" s="22"/>
      <c r="BQ57"/>
    </row>
    <row r="58" spans="1:73" ht="32.1" customHeight="1" x14ac:dyDescent="0.2">
      <c r="A58" s="26" t="s">
        <v>176</v>
      </c>
      <c r="B58" s="12"/>
      <c r="C58" s="36"/>
      <c r="D58" s="36"/>
      <c r="E58" s="36"/>
      <c r="F58" s="36"/>
      <c r="G58" s="68"/>
      <c r="H58" s="68"/>
      <c r="I58" s="48"/>
      <c r="J58" s="48"/>
      <c r="K58" s="48"/>
      <c r="L58" s="48"/>
      <c r="M58" s="48"/>
      <c r="N58" s="48"/>
      <c r="O58" s="48"/>
      <c r="P58" s="48"/>
      <c r="Q58" s="48"/>
      <c r="R58" s="48"/>
      <c r="S58" s="48"/>
      <c r="T58" s="48"/>
      <c r="U58" s="48"/>
      <c r="V58" s="48"/>
      <c r="W58" s="48"/>
      <c r="X58" s="48"/>
      <c r="Y58" s="48"/>
      <c r="Z58" s="48"/>
      <c r="AA58" s="48">
        <v>1</v>
      </c>
      <c r="AB58" s="48">
        <v>1</v>
      </c>
      <c r="AC58" s="69"/>
      <c r="AD58" s="48">
        <v>5.6</v>
      </c>
      <c r="AE58" s="48">
        <v>4.37</v>
      </c>
      <c r="AF58" s="48">
        <v>1</v>
      </c>
      <c r="AG58" s="48">
        <v>1</v>
      </c>
      <c r="AH58" s="70">
        <v>0.44</v>
      </c>
      <c r="AI58" s="70"/>
      <c r="AJ58" s="70"/>
      <c r="AK58" s="70"/>
      <c r="AL58" s="48"/>
      <c r="AM58" s="48"/>
      <c r="AN58" s="70">
        <v>1</v>
      </c>
      <c r="AO58" s="70"/>
      <c r="AP58" s="70"/>
      <c r="AQ58" s="67"/>
      <c r="AR58" s="67"/>
      <c r="AS58" s="25"/>
      <c r="BP58" s="22"/>
      <c r="BQ58" s="35"/>
    </row>
    <row r="59" spans="1:73" ht="32.1" customHeight="1" x14ac:dyDescent="0.2">
      <c r="A59" s="26" t="s">
        <v>179</v>
      </c>
      <c r="B59" s="12"/>
      <c r="C59" s="36"/>
      <c r="D59" s="36"/>
      <c r="E59" s="36"/>
      <c r="F59" s="36"/>
      <c r="G59" s="68"/>
      <c r="H59" s="68"/>
      <c r="I59" s="48"/>
      <c r="J59" s="48"/>
      <c r="K59" s="48"/>
      <c r="L59" s="48"/>
      <c r="M59" s="48"/>
      <c r="N59" s="48"/>
      <c r="O59" s="48"/>
      <c r="P59" s="48"/>
      <c r="Q59" s="48"/>
      <c r="R59" s="48"/>
      <c r="S59" s="48"/>
      <c r="T59" s="48"/>
      <c r="U59" s="48"/>
      <c r="V59" s="71"/>
      <c r="W59" s="71"/>
      <c r="X59" s="48"/>
      <c r="Y59" s="48"/>
      <c r="Z59" s="48"/>
      <c r="AA59" s="48"/>
      <c r="AB59" s="48"/>
      <c r="AC59" s="69"/>
      <c r="AD59" s="48"/>
      <c r="AE59" s="48"/>
      <c r="AF59" s="48"/>
      <c r="AG59" s="48"/>
      <c r="AH59" s="48"/>
      <c r="AI59" s="48"/>
      <c r="AJ59" s="48"/>
      <c r="AK59" s="70"/>
      <c r="AL59" s="48"/>
      <c r="AM59" s="48"/>
      <c r="AN59" s="70"/>
      <c r="AO59" s="70"/>
      <c r="AP59" s="70"/>
      <c r="AQ59" s="70"/>
      <c r="AR59" s="70"/>
      <c r="AS59" s="25"/>
      <c r="BO59" s="18"/>
      <c r="BP59" s="22"/>
    </row>
    <row r="60" spans="1:73" ht="32.1" customHeight="1" x14ac:dyDescent="0.2">
      <c r="A60" s="11"/>
      <c r="B60" s="12"/>
      <c r="C60" s="36"/>
      <c r="D60" s="36"/>
      <c r="E60" s="36"/>
      <c r="F60" s="36"/>
      <c r="G60" s="68"/>
      <c r="H60" s="68"/>
      <c r="I60" s="48"/>
      <c r="J60" s="48"/>
      <c r="K60" s="48"/>
      <c r="L60" s="48"/>
      <c r="M60" s="48"/>
      <c r="N60" s="48"/>
      <c r="O60" s="48"/>
      <c r="P60" s="48"/>
      <c r="Q60" s="48"/>
      <c r="R60" s="48"/>
      <c r="S60" s="48"/>
      <c r="T60" s="48"/>
      <c r="U60" s="48"/>
      <c r="V60" s="48"/>
      <c r="W60" s="48"/>
      <c r="X60" s="48"/>
      <c r="Y60" s="48"/>
      <c r="Z60" s="48"/>
      <c r="AA60" s="48"/>
      <c r="AB60" s="48"/>
      <c r="AC60" s="69"/>
      <c r="AD60" s="48"/>
      <c r="AE60" s="48"/>
      <c r="AF60" s="48"/>
      <c r="AG60" s="48"/>
      <c r="AH60" s="48"/>
      <c r="AI60" s="48"/>
      <c r="AJ60" s="48"/>
      <c r="AK60" s="70"/>
      <c r="AL60" s="48"/>
      <c r="AM60" s="48"/>
      <c r="AN60" s="70">
        <v>1</v>
      </c>
      <c r="AO60" s="70"/>
      <c r="AP60" s="70"/>
      <c r="AQ60" s="70"/>
      <c r="AR60" s="70"/>
      <c r="AS60" s="25"/>
    </row>
    <row r="61" spans="1:73" ht="32.1" customHeight="1" x14ac:dyDescent="0.2">
      <c r="A61" s="26" t="s">
        <v>180</v>
      </c>
      <c r="B61" s="12"/>
      <c r="C61" s="36"/>
      <c r="D61" s="36"/>
      <c r="E61" s="36"/>
      <c r="F61" s="36"/>
      <c r="G61" s="68"/>
      <c r="H61" s="68"/>
      <c r="I61" s="48"/>
      <c r="J61" s="48"/>
      <c r="K61" s="48"/>
      <c r="L61" s="48"/>
      <c r="M61" s="48"/>
      <c r="N61" s="48"/>
      <c r="O61" s="48"/>
      <c r="P61" s="48"/>
      <c r="Q61" s="48"/>
      <c r="R61" s="48"/>
      <c r="S61" s="48"/>
      <c r="T61" s="48"/>
      <c r="U61" s="48"/>
      <c r="V61" s="48"/>
      <c r="W61" s="48"/>
      <c r="X61" s="48"/>
      <c r="Y61" s="48"/>
      <c r="Z61" s="48"/>
      <c r="AA61" s="48">
        <v>1</v>
      </c>
      <c r="AB61" s="48">
        <v>1</v>
      </c>
      <c r="AC61" s="69"/>
      <c r="AD61" s="48">
        <v>5.6</v>
      </c>
      <c r="AE61" s="48">
        <v>4.37</v>
      </c>
      <c r="AF61" s="48">
        <v>1</v>
      </c>
      <c r="AG61" s="48">
        <v>1</v>
      </c>
      <c r="AH61" s="48"/>
      <c r="AI61" s="48"/>
      <c r="AJ61" s="48"/>
      <c r="AK61" s="70"/>
      <c r="AL61" s="48"/>
      <c r="AM61" s="48"/>
      <c r="AN61" s="70">
        <v>1</v>
      </c>
      <c r="AO61" s="70"/>
      <c r="AP61" s="70"/>
      <c r="AQ61" s="70"/>
      <c r="AR61" s="70"/>
      <c r="AS61" s="25"/>
      <c r="BB61" s="39"/>
      <c r="BC61" s="39"/>
      <c r="BD61" s="39"/>
      <c r="BE61" s="39"/>
      <c r="BF61" s="39"/>
      <c r="BG61" s="39"/>
      <c r="BH61" s="39"/>
      <c r="BI61" s="39"/>
      <c r="BJ61" s="39"/>
      <c r="BK61" s="39"/>
      <c r="BL61" s="39"/>
      <c r="BM61" s="39"/>
      <c r="BN61" s="39"/>
    </row>
    <row r="62" spans="1:73" ht="32.1" customHeight="1" x14ac:dyDescent="0.2">
      <c r="A62" s="26" t="s">
        <v>181</v>
      </c>
      <c r="B62" s="12"/>
      <c r="C62" s="36"/>
      <c r="D62" s="36"/>
      <c r="E62" s="36"/>
      <c r="F62" s="36"/>
      <c r="G62" s="68"/>
      <c r="H62" s="68"/>
      <c r="I62" s="48"/>
      <c r="J62" s="48"/>
      <c r="K62" s="49"/>
      <c r="L62" s="49"/>
      <c r="M62" s="49"/>
      <c r="N62" s="49"/>
      <c r="O62" s="48"/>
      <c r="P62" s="48"/>
      <c r="Q62" s="48"/>
      <c r="R62" s="48"/>
      <c r="S62" s="48"/>
      <c r="T62" s="48"/>
      <c r="U62" s="48"/>
      <c r="V62" s="48"/>
      <c r="W62" s="48"/>
      <c r="X62" s="48"/>
      <c r="Y62" s="48"/>
      <c r="Z62" s="48"/>
      <c r="AA62" s="48">
        <v>1</v>
      </c>
      <c r="AB62" s="48">
        <v>1</v>
      </c>
      <c r="AC62" s="69"/>
      <c r="AD62" s="48">
        <v>5.6</v>
      </c>
      <c r="AE62" s="48">
        <v>4.37</v>
      </c>
      <c r="AF62" s="48">
        <v>1</v>
      </c>
      <c r="AG62" s="48">
        <v>1</v>
      </c>
      <c r="AH62" s="48"/>
      <c r="AI62" s="48"/>
      <c r="AJ62" s="48"/>
      <c r="AK62" s="70"/>
      <c r="AL62" s="48"/>
      <c r="AM62" s="48"/>
      <c r="AN62" s="70">
        <v>1</v>
      </c>
      <c r="AO62" s="70"/>
      <c r="AP62" s="70"/>
      <c r="AQ62" s="70"/>
      <c r="AR62" s="70"/>
      <c r="AS62" s="25"/>
      <c r="BO62" s="18"/>
    </row>
    <row r="63" spans="1:73" ht="32.1" customHeight="1" x14ac:dyDescent="0.2">
      <c r="A63" s="29" t="s">
        <v>268</v>
      </c>
      <c r="B63" s="30"/>
      <c r="C63" s="72" t="s">
        <v>151</v>
      </c>
      <c r="D63" s="40"/>
      <c r="E63" s="40"/>
      <c r="F63" s="40"/>
      <c r="G63" s="41"/>
      <c r="H63" s="41"/>
      <c r="I63" s="42"/>
      <c r="J63" s="42"/>
      <c r="K63" s="73"/>
      <c r="L63" s="73"/>
      <c r="M63" s="73"/>
      <c r="N63" s="73"/>
      <c r="O63" s="42"/>
      <c r="P63" s="42"/>
      <c r="Q63" s="42"/>
      <c r="R63" s="42"/>
      <c r="S63" s="42"/>
      <c r="T63" s="42"/>
      <c r="U63" s="42"/>
      <c r="V63" s="45" t="s">
        <v>154</v>
      </c>
      <c r="W63" s="45"/>
      <c r="X63" s="42"/>
      <c r="Y63" s="42"/>
      <c r="Z63" s="42"/>
      <c r="AA63" s="42"/>
      <c r="AB63" s="42"/>
      <c r="AC63" s="43"/>
      <c r="AD63" s="42"/>
      <c r="AE63" s="42"/>
      <c r="AF63" s="42"/>
      <c r="AG63" s="42"/>
      <c r="AH63" s="42"/>
      <c r="AI63" s="42"/>
      <c r="AJ63" s="42"/>
      <c r="AK63" s="44"/>
      <c r="AL63" s="42"/>
      <c r="AM63" s="42"/>
      <c r="AN63" s="44"/>
      <c r="AO63" s="44"/>
      <c r="AP63" s="44"/>
      <c r="AQ63" s="44"/>
      <c r="AR63" s="44"/>
      <c r="AS63" s="25"/>
    </row>
    <row r="64" spans="1:73" ht="32.1" customHeight="1" x14ac:dyDescent="0.2">
      <c r="A64" s="38" t="s">
        <v>149</v>
      </c>
      <c r="B64" s="37"/>
      <c r="C64" s="74">
        <v>1</v>
      </c>
      <c r="D64" s="74"/>
      <c r="E64" s="74"/>
      <c r="F64" s="74"/>
      <c r="G64" s="75"/>
      <c r="H64" s="75"/>
      <c r="I64" s="76"/>
      <c r="J64" s="76"/>
      <c r="K64" s="77"/>
      <c r="L64" s="77"/>
      <c r="M64" s="77"/>
      <c r="N64" s="77"/>
      <c r="O64" s="76"/>
      <c r="P64" s="76"/>
      <c r="Q64" s="76"/>
      <c r="R64" s="76"/>
      <c r="S64" s="76"/>
      <c r="T64" s="76"/>
      <c r="U64" s="76"/>
      <c r="V64" s="76">
        <v>3.6</v>
      </c>
      <c r="W64" s="76"/>
      <c r="X64" s="76"/>
      <c r="Y64" s="76"/>
      <c r="Z64" s="76"/>
      <c r="AA64" s="76"/>
      <c r="AB64" s="76"/>
      <c r="AC64" s="78"/>
      <c r="AD64" s="76"/>
      <c r="AE64" s="76"/>
      <c r="AF64" s="76"/>
      <c r="AG64" s="76"/>
      <c r="AH64" s="76"/>
      <c r="AI64" s="76"/>
      <c r="AJ64" s="76"/>
      <c r="AK64" s="67"/>
      <c r="AL64" s="76"/>
      <c r="AM64" s="76"/>
      <c r="AN64" s="67"/>
      <c r="AO64" s="67"/>
      <c r="AP64" s="67"/>
      <c r="AQ64" s="67"/>
      <c r="AR64" s="67"/>
      <c r="AS64" s="25"/>
    </row>
    <row r="65" spans="1:66" ht="32.1" customHeight="1" x14ac:dyDescent="0.2">
      <c r="A65" s="38" t="s">
        <v>150</v>
      </c>
      <c r="B65" s="37"/>
      <c r="C65" s="74">
        <v>0.5</v>
      </c>
      <c r="D65" s="74"/>
      <c r="E65" s="74"/>
      <c r="F65" s="74"/>
      <c r="G65" s="75"/>
      <c r="H65" s="75"/>
      <c r="I65" s="76"/>
      <c r="J65" s="76"/>
      <c r="K65" s="77"/>
      <c r="L65" s="77"/>
      <c r="M65" s="77"/>
      <c r="N65" s="77"/>
      <c r="O65" s="76"/>
      <c r="P65" s="76"/>
      <c r="Q65" s="76"/>
      <c r="R65" s="76"/>
      <c r="S65" s="76"/>
      <c r="T65" s="76"/>
      <c r="U65" s="76"/>
      <c r="V65" s="76">
        <v>0</v>
      </c>
      <c r="W65" s="76"/>
      <c r="X65" s="76"/>
      <c r="Y65" s="76"/>
      <c r="Z65" s="76"/>
      <c r="AA65" s="76"/>
      <c r="AB65" s="76"/>
      <c r="AC65" s="78"/>
      <c r="AD65" s="76"/>
      <c r="AE65" s="76"/>
      <c r="AF65" s="76"/>
      <c r="AG65" s="76"/>
      <c r="AH65" s="76"/>
      <c r="AI65" s="76"/>
      <c r="AJ65" s="76"/>
      <c r="AK65" s="67"/>
      <c r="AL65" s="76"/>
      <c r="AM65" s="76"/>
      <c r="AN65" s="67"/>
      <c r="AO65" s="67"/>
      <c r="AP65" s="67"/>
      <c r="AQ65" s="67"/>
      <c r="AR65" s="67"/>
      <c r="AS65" s="25"/>
    </row>
    <row r="66" spans="1:66" ht="32.1" customHeight="1" x14ac:dyDescent="0.2">
      <c r="A66" s="38" t="s">
        <v>152</v>
      </c>
      <c r="B66" s="37"/>
      <c r="C66" s="74"/>
      <c r="D66" s="74"/>
      <c r="E66" s="74"/>
      <c r="F66" s="74"/>
      <c r="G66" s="75"/>
      <c r="H66" s="75"/>
      <c r="I66" s="76"/>
      <c r="J66" s="76"/>
      <c r="K66" s="77"/>
      <c r="L66" s="77"/>
      <c r="M66" s="77"/>
      <c r="N66" s="77"/>
      <c r="O66" s="76"/>
      <c r="P66" s="76"/>
      <c r="Q66" s="76"/>
      <c r="R66" s="76"/>
      <c r="S66" s="76"/>
      <c r="T66" s="76"/>
      <c r="U66" s="76"/>
      <c r="V66" s="76"/>
      <c r="W66" s="76"/>
      <c r="X66" s="76"/>
      <c r="Y66" s="76"/>
      <c r="Z66" s="76"/>
      <c r="AA66" s="76"/>
      <c r="AB66" s="76"/>
      <c r="AC66" s="78"/>
      <c r="AD66" s="76"/>
      <c r="AE66" s="76"/>
      <c r="AF66" s="76"/>
      <c r="AG66" s="76"/>
      <c r="AH66" s="76"/>
      <c r="AI66" s="76"/>
      <c r="AJ66" s="76"/>
      <c r="AK66" s="67"/>
      <c r="AL66" s="76"/>
      <c r="AM66" s="76"/>
      <c r="AN66" s="67"/>
      <c r="AO66" s="67"/>
      <c r="AP66" s="67"/>
      <c r="AQ66" s="67"/>
      <c r="AR66" s="67"/>
      <c r="AS66" s="25"/>
    </row>
    <row r="67" spans="1:66" ht="32.1" customHeight="1" x14ac:dyDescent="0.2">
      <c r="A67" s="26" t="s">
        <v>182</v>
      </c>
      <c r="B67" s="12"/>
      <c r="C67" s="36"/>
      <c r="D67" s="36"/>
      <c r="E67" s="36"/>
      <c r="F67" s="36"/>
      <c r="G67" s="68"/>
      <c r="H67" s="68"/>
      <c r="I67" s="48"/>
      <c r="J67" s="48"/>
      <c r="K67" s="49"/>
      <c r="L67" s="49"/>
      <c r="M67" s="49"/>
      <c r="N67" s="49"/>
      <c r="O67" s="48"/>
      <c r="P67" s="48"/>
      <c r="Q67" s="48"/>
      <c r="R67" s="48"/>
      <c r="S67" s="48"/>
      <c r="T67" s="48"/>
      <c r="U67" s="48"/>
      <c r="V67" s="48"/>
      <c r="W67" s="48"/>
      <c r="X67" s="48"/>
      <c r="Y67" s="48"/>
      <c r="Z67" s="48"/>
      <c r="AA67" s="48">
        <v>1</v>
      </c>
      <c r="AB67" s="48">
        <v>1</v>
      </c>
      <c r="AC67" s="69"/>
      <c r="AD67" s="48">
        <v>5.6</v>
      </c>
      <c r="AE67" s="48">
        <v>4.37</v>
      </c>
      <c r="AF67" s="48">
        <v>1</v>
      </c>
      <c r="AG67" s="48">
        <v>1</v>
      </c>
      <c r="AH67" s="48"/>
      <c r="AI67" s="48"/>
      <c r="AJ67" s="48"/>
      <c r="AK67" s="70"/>
      <c r="AL67" s="48"/>
      <c r="AM67" s="48"/>
      <c r="AN67" s="70">
        <v>1</v>
      </c>
      <c r="AO67" s="70"/>
      <c r="AP67" s="70"/>
      <c r="AQ67" s="70"/>
      <c r="AR67" s="70"/>
      <c r="AS67" s="25"/>
      <c r="BB67" s="5"/>
      <c r="BC67" s="5"/>
      <c r="BD67" s="5"/>
      <c r="BE67" s="5"/>
      <c r="BF67" s="5"/>
      <c r="BG67" s="5"/>
      <c r="BH67" s="5"/>
      <c r="BI67" s="5"/>
      <c r="BJ67" s="5"/>
      <c r="BK67" s="5"/>
      <c r="BL67" s="5"/>
      <c r="BM67" s="5"/>
      <c r="BN67" s="5"/>
    </row>
    <row r="68" spans="1:66" ht="32.1" customHeight="1" x14ac:dyDescent="0.2">
      <c r="A68" s="27" t="s">
        <v>288</v>
      </c>
      <c r="B68" s="12"/>
      <c r="C68" s="36"/>
      <c r="D68" s="36"/>
      <c r="E68" s="36"/>
      <c r="F68" s="36"/>
      <c r="G68" s="68"/>
      <c r="H68" s="68"/>
      <c r="I68" s="48"/>
      <c r="J68" s="48"/>
      <c r="K68" s="49"/>
      <c r="L68" s="49"/>
      <c r="M68" s="49"/>
      <c r="N68" s="49"/>
      <c r="O68" s="48"/>
      <c r="P68" s="48"/>
      <c r="Q68" s="48"/>
      <c r="R68" s="48"/>
      <c r="S68" s="48"/>
      <c r="T68" s="48"/>
      <c r="U68" s="48"/>
      <c r="V68" s="48"/>
      <c r="W68" s="48"/>
      <c r="X68" s="48"/>
      <c r="Y68" s="48"/>
      <c r="Z68" s="48"/>
      <c r="AA68" s="48">
        <v>1</v>
      </c>
      <c r="AB68" s="48">
        <v>1</v>
      </c>
      <c r="AC68" s="69"/>
      <c r="AD68" s="48">
        <v>5.6</v>
      </c>
      <c r="AE68" s="48">
        <v>4.37</v>
      </c>
      <c r="AF68" s="48">
        <v>1</v>
      </c>
      <c r="AG68" s="48">
        <v>1</v>
      </c>
      <c r="AH68" s="48"/>
      <c r="AI68" s="48"/>
      <c r="AJ68" s="48"/>
      <c r="AK68" s="70"/>
      <c r="AL68" s="48"/>
      <c r="AM68" s="48"/>
      <c r="AN68" s="70">
        <v>1</v>
      </c>
      <c r="AO68" s="70"/>
      <c r="AP68" s="70"/>
      <c r="AQ68" s="70"/>
      <c r="AR68" s="70"/>
      <c r="AS68" s="25"/>
      <c r="BB68" s="5"/>
      <c r="BC68" s="5"/>
      <c r="BD68" s="5"/>
      <c r="BE68" s="5"/>
      <c r="BF68" s="5"/>
      <c r="BG68" s="5"/>
      <c r="BH68" s="5"/>
      <c r="BI68" s="5"/>
      <c r="BJ68" s="5"/>
      <c r="BK68" s="5"/>
      <c r="BL68" s="5"/>
      <c r="BM68" s="5"/>
      <c r="BN68" s="5"/>
    </row>
    <row r="69" spans="1:66" ht="32.1" customHeight="1" x14ac:dyDescent="0.2">
      <c r="A69" s="27" t="s">
        <v>164</v>
      </c>
      <c r="B69" s="12"/>
      <c r="C69" s="36"/>
      <c r="D69" s="36"/>
      <c r="E69" s="36"/>
      <c r="F69" s="36"/>
      <c r="G69" s="68"/>
      <c r="H69" s="68"/>
      <c r="I69" s="48"/>
      <c r="J69" s="48"/>
      <c r="K69" s="49"/>
      <c r="L69" s="48"/>
      <c r="M69" s="49"/>
      <c r="N69" s="49"/>
      <c r="O69" s="48"/>
      <c r="P69" s="48"/>
      <c r="Q69" s="48"/>
      <c r="R69" s="48"/>
      <c r="S69" s="48"/>
      <c r="T69" s="48"/>
      <c r="U69" s="48"/>
      <c r="V69" s="48"/>
      <c r="W69" s="48"/>
      <c r="X69" s="48"/>
      <c r="Y69" s="48"/>
      <c r="Z69" s="48"/>
      <c r="AA69" s="48">
        <v>1</v>
      </c>
      <c r="AB69" s="48">
        <v>1</v>
      </c>
      <c r="AC69" s="69"/>
      <c r="AD69" s="48">
        <v>5.6</v>
      </c>
      <c r="AE69" s="48">
        <v>4.37</v>
      </c>
      <c r="AF69" s="48">
        <v>1</v>
      </c>
      <c r="AG69" s="48">
        <v>1</v>
      </c>
      <c r="AH69" s="48"/>
      <c r="AI69" s="48"/>
      <c r="AJ69" s="48"/>
      <c r="AK69" s="70"/>
      <c r="AL69" s="48"/>
      <c r="AM69" s="48"/>
      <c r="AN69" s="70">
        <v>1</v>
      </c>
      <c r="AO69" s="70"/>
      <c r="AP69" s="70"/>
      <c r="AQ69" s="70"/>
      <c r="AR69" s="70"/>
      <c r="AS69" s="25"/>
      <c r="BB69" s="5"/>
      <c r="BC69" s="5"/>
      <c r="BD69" s="5"/>
      <c r="BE69" s="5"/>
      <c r="BF69" s="5"/>
      <c r="BG69" s="5"/>
      <c r="BH69" s="5"/>
      <c r="BI69" s="5"/>
      <c r="BJ69" s="5"/>
      <c r="BK69" s="5"/>
      <c r="BL69" s="5"/>
      <c r="BM69" s="5"/>
      <c r="BN69" s="5"/>
    </row>
    <row r="70" spans="1:66" ht="32.1" customHeight="1" x14ac:dyDescent="0.2">
      <c r="A70" s="27" t="s">
        <v>165</v>
      </c>
      <c r="B70" s="12"/>
      <c r="C70" s="36"/>
      <c r="D70" s="36"/>
      <c r="E70" s="36"/>
      <c r="F70" s="36"/>
      <c r="G70" s="68"/>
      <c r="H70" s="68"/>
      <c r="I70" s="48"/>
      <c r="J70" s="48"/>
      <c r="K70" s="49"/>
      <c r="L70" s="48"/>
      <c r="M70" s="49"/>
      <c r="N70" s="49"/>
      <c r="O70" s="48"/>
      <c r="P70" s="48"/>
      <c r="Q70" s="48"/>
      <c r="R70" s="48"/>
      <c r="S70" s="48"/>
      <c r="T70" s="48"/>
      <c r="U70" s="48"/>
      <c r="V70" s="48"/>
      <c r="W70" s="48"/>
      <c r="X70" s="48"/>
      <c r="Y70" s="48"/>
      <c r="Z70" s="48"/>
      <c r="AA70" s="48">
        <v>1</v>
      </c>
      <c r="AB70" s="48">
        <v>1</v>
      </c>
      <c r="AC70" s="69"/>
      <c r="AD70" s="48">
        <v>5.6</v>
      </c>
      <c r="AE70" s="48">
        <v>4.37</v>
      </c>
      <c r="AF70" s="48">
        <v>1</v>
      </c>
      <c r="AG70" s="48">
        <v>1</v>
      </c>
      <c r="AH70" s="48"/>
      <c r="AI70" s="48"/>
      <c r="AJ70" s="48"/>
      <c r="AK70" s="70"/>
      <c r="AL70" s="48"/>
      <c r="AM70" s="48"/>
      <c r="AN70" s="70">
        <v>1</v>
      </c>
      <c r="AO70" s="70"/>
      <c r="AP70" s="70"/>
      <c r="AQ70" s="70"/>
      <c r="AR70" s="70"/>
      <c r="AS70" s="25"/>
      <c r="BB70" s="5"/>
      <c r="BC70" s="5"/>
      <c r="BD70" s="5"/>
      <c r="BE70" s="5"/>
      <c r="BF70" s="5"/>
      <c r="BG70" s="5"/>
      <c r="BH70" s="5"/>
      <c r="BI70" s="5"/>
      <c r="BJ70" s="5"/>
      <c r="BK70" s="5"/>
      <c r="BL70" s="5"/>
      <c r="BM70" s="5"/>
      <c r="BN70" s="5"/>
    </row>
    <row r="71" spans="1:66" ht="32.1" customHeight="1" x14ac:dyDescent="0.2">
      <c r="A71" s="27" t="s">
        <v>166</v>
      </c>
      <c r="B71" s="12"/>
      <c r="C71" s="36"/>
      <c r="D71" s="36"/>
      <c r="E71" s="36"/>
      <c r="F71" s="36"/>
      <c r="G71" s="68"/>
      <c r="H71" s="68"/>
      <c r="I71" s="48"/>
      <c r="J71" s="48"/>
      <c r="K71" s="49"/>
      <c r="L71" s="48"/>
      <c r="M71" s="49"/>
      <c r="N71" s="49"/>
      <c r="O71" s="48"/>
      <c r="P71" s="48"/>
      <c r="Q71" s="48"/>
      <c r="R71" s="48"/>
      <c r="S71" s="48"/>
      <c r="T71" s="48"/>
      <c r="U71" s="48"/>
      <c r="V71" s="48"/>
      <c r="W71" s="48"/>
      <c r="X71" s="48"/>
      <c r="Y71" s="48"/>
      <c r="Z71" s="48"/>
      <c r="AA71" s="48">
        <v>1</v>
      </c>
      <c r="AB71" s="48">
        <v>1</v>
      </c>
      <c r="AC71" s="69"/>
      <c r="AD71" s="48">
        <v>5.6</v>
      </c>
      <c r="AE71" s="48">
        <v>4.37</v>
      </c>
      <c r="AF71" s="48">
        <v>1</v>
      </c>
      <c r="AG71" s="48">
        <v>1</v>
      </c>
      <c r="AH71" s="48"/>
      <c r="AI71" s="48"/>
      <c r="AJ71" s="48"/>
      <c r="AK71" s="70"/>
      <c r="AL71" s="48"/>
      <c r="AM71" s="48"/>
      <c r="AN71" s="70">
        <v>1</v>
      </c>
      <c r="AO71" s="70"/>
      <c r="AP71" s="70"/>
      <c r="AQ71" s="70"/>
      <c r="AR71" s="70"/>
      <c r="AS71" s="25"/>
      <c r="BB71" s="5"/>
      <c r="BC71" s="5"/>
      <c r="BD71" s="5"/>
      <c r="BE71" s="5"/>
      <c r="BF71" s="5"/>
      <c r="BG71" s="5"/>
      <c r="BH71" s="5"/>
      <c r="BI71" s="5"/>
      <c r="BJ71" s="5"/>
      <c r="BK71" s="5"/>
      <c r="BL71" s="5"/>
      <c r="BM71" s="5"/>
      <c r="BN71" s="5"/>
    </row>
    <row r="72" spans="1:66" ht="32.1" customHeight="1" x14ac:dyDescent="0.2">
      <c r="A72" s="26" t="s">
        <v>167</v>
      </c>
      <c r="B72" s="12"/>
      <c r="C72" s="36"/>
      <c r="D72" s="36"/>
      <c r="E72" s="36"/>
      <c r="F72" s="36"/>
      <c r="G72" s="68"/>
      <c r="H72" s="68"/>
      <c r="I72" s="48"/>
      <c r="J72" s="48"/>
      <c r="K72" s="49"/>
      <c r="L72" s="48"/>
      <c r="M72" s="49"/>
      <c r="N72" s="49"/>
      <c r="O72" s="48"/>
      <c r="P72" s="48"/>
      <c r="Q72" s="48"/>
      <c r="R72" s="48"/>
      <c r="S72" s="48"/>
      <c r="T72" s="48"/>
      <c r="U72" s="48"/>
      <c r="V72" s="48"/>
      <c r="W72" s="48"/>
      <c r="X72" s="48"/>
      <c r="Y72" s="48"/>
      <c r="Z72" s="48"/>
      <c r="AA72" s="48">
        <v>1</v>
      </c>
      <c r="AB72" s="48">
        <v>1</v>
      </c>
      <c r="AC72" s="69"/>
      <c r="AD72" s="48">
        <v>5.6</v>
      </c>
      <c r="AE72" s="48">
        <v>4.37</v>
      </c>
      <c r="AF72" s="48">
        <v>1</v>
      </c>
      <c r="AG72" s="48">
        <v>1</v>
      </c>
      <c r="AH72" s="48"/>
      <c r="AI72" s="48"/>
      <c r="AJ72" s="48"/>
      <c r="AK72" s="70"/>
      <c r="AL72" s="48"/>
      <c r="AM72" s="48"/>
      <c r="AN72" s="70">
        <v>1</v>
      </c>
      <c r="AO72" s="70"/>
      <c r="AP72" s="70"/>
      <c r="AQ72" s="70"/>
      <c r="AR72" s="70"/>
      <c r="AS72" s="25"/>
      <c r="BB72" s="5"/>
      <c r="BC72" s="5"/>
      <c r="BD72" s="5"/>
      <c r="BE72" s="5"/>
      <c r="BF72" s="5"/>
      <c r="BG72" s="5"/>
      <c r="BH72" s="5"/>
      <c r="BI72" s="5"/>
      <c r="BJ72" s="5"/>
      <c r="BK72" s="5"/>
      <c r="BL72" s="5"/>
      <c r="BM72" s="5"/>
      <c r="BN72" s="5"/>
    </row>
    <row r="73" spans="1:66" ht="32.1" customHeight="1" x14ac:dyDescent="0.2">
      <c r="A73" s="26" t="s">
        <v>183</v>
      </c>
      <c r="B73" s="12"/>
      <c r="C73" s="36"/>
      <c r="D73" s="36"/>
      <c r="E73" s="36"/>
      <c r="F73" s="36"/>
      <c r="G73" s="68"/>
      <c r="H73" s="68"/>
      <c r="I73" s="48"/>
      <c r="J73" s="48"/>
      <c r="K73" s="49"/>
      <c r="L73" s="48"/>
      <c r="M73" s="49"/>
      <c r="N73" s="49"/>
      <c r="O73" s="48"/>
      <c r="P73" s="48"/>
      <c r="Q73" s="48"/>
      <c r="R73" s="48"/>
      <c r="S73" s="48"/>
      <c r="T73" s="48"/>
      <c r="U73" s="48"/>
      <c r="V73" s="48"/>
      <c r="W73" s="48"/>
      <c r="X73" s="48"/>
      <c r="Y73" s="48"/>
      <c r="Z73" s="48"/>
      <c r="AA73" s="48">
        <v>1</v>
      </c>
      <c r="AB73" s="48">
        <v>1</v>
      </c>
      <c r="AC73" s="69"/>
      <c r="AD73" s="48">
        <v>5.6</v>
      </c>
      <c r="AE73" s="48">
        <v>4.37</v>
      </c>
      <c r="AF73" s="48">
        <v>1</v>
      </c>
      <c r="AG73" s="48">
        <v>1</v>
      </c>
      <c r="AH73" s="48"/>
      <c r="AI73" s="48"/>
      <c r="AJ73" s="48"/>
      <c r="AK73" s="70"/>
      <c r="AL73" s="48"/>
      <c r="AM73" s="48"/>
      <c r="AN73" s="70">
        <v>1</v>
      </c>
      <c r="AO73" s="70"/>
      <c r="AP73" s="70"/>
      <c r="AQ73" s="70"/>
      <c r="AR73" s="70"/>
      <c r="AS73" s="25"/>
      <c r="BB73" s="5"/>
      <c r="BC73" s="5"/>
      <c r="BD73" s="5"/>
      <c r="BE73" s="5"/>
      <c r="BF73" s="5"/>
      <c r="BG73" s="5"/>
      <c r="BH73" s="5"/>
      <c r="BI73" s="5"/>
      <c r="BJ73" s="5"/>
      <c r="BK73" s="5"/>
      <c r="BL73" s="5"/>
      <c r="BM73" s="5"/>
      <c r="BN73" s="5"/>
    </row>
    <row r="74" spans="1:66" ht="32.1" customHeight="1" x14ac:dyDescent="0.2">
      <c r="A74" s="26" t="s">
        <v>184</v>
      </c>
      <c r="B74" s="12"/>
      <c r="C74" s="36"/>
      <c r="D74" s="36"/>
      <c r="E74" s="36"/>
      <c r="F74" s="36"/>
      <c r="G74" s="68"/>
      <c r="H74" s="68"/>
      <c r="I74" s="48"/>
      <c r="J74" s="48"/>
      <c r="K74" s="49"/>
      <c r="L74" s="48"/>
      <c r="M74" s="49"/>
      <c r="N74" s="49"/>
      <c r="O74" s="48"/>
      <c r="P74" s="48"/>
      <c r="Q74" s="48"/>
      <c r="R74" s="48"/>
      <c r="S74" s="48"/>
      <c r="T74" s="48"/>
      <c r="U74" s="48"/>
      <c r="V74" s="48"/>
      <c r="W74" s="48"/>
      <c r="X74" s="48"/>
      <c r="Y74" s="48"/>
      <c r="Z74" s="48"/>
      <c r="AA74" s="48">
        <v>1</v>
      </c>
      <c r="AB74" s="48">
        <v>1</v>
      </c>
      <c r="AC74" s="69"/>
      <c r="AD74" s="48">
        <v>5.6</v>
      </c>
      <c r="AE74" s="48">
        <v>4.37</v>
      </c>
      <c r="AF74" s="48">
        <v>1</v>
      </c>
      <c r="AG74" s="48">
        <v>1</v>
      </c>
      <c r="AH74" s="48"/>
      <c r="AI74" s="48"/>
      <c r="AJ74" s="48"/>
      <c r="AK74" s="70"/>
      <c r="AL74" s="48"/>
      <c r="AM74" s="48"/>
      <c r="AN74" s="70">
        <v>1</v>
      </c>
      <c r="AO74" s="70"/>
      <c r="AP74" s="70"/>
      <c r="AQ74" s="70"/>
      <c r="AR74" s="70"/>
      <c r="AS74" s="25"/>
      <c r="BB74" s="5"/>
      <c r="BC74" s="5"/>
      <c r="BD74" s="5"/>
      <c r="BE74" s="5"/>
      <c r="BF74" s="5"/>
      <c r="BG74" s="5"/>
      <c r="BH74" s="5"/>
      <c r="BI74" s="5"/>
      <c r="BJ74" s="5"/>
      <c r="BK74" s="5"/>
      <c r="BL74" s="5"/>
      <c r="BM74" s="5"/>
      <c r="BN74" s="5"/>
    </row>
    <row r="75" spans="1:66" ht="32.1" customHeight="1" x14ac:dyDescent="0.2">
      <c r="A75" s="27" t="s">
        <v>185</v>
      </c>
      <c r="B75" s="12"/>
      <c r="C75" s="36"/>
      <c r="D75" s="36"/>
      <c r="E75" s="36"/>
      <c r="F75" s="36"/>
      <c r="G75" s="68"/>
      <c r="H75" s="68"/>
      <c r="I75" s="48"/>
      <c r="J75" s="48"/>
      <c r="K75" s="49"/>
      <c r="L75" s="48"/>
      <c r="M75" s="49"/>
      <c r="N75" s="49"/>
      <c r="O75" s="48"/>
      <c r="P75" s="48"/>
      <c r="Q75" s="48"/>
      <c r="R75" s="48"/>
      <c r="S75" s="48"/>
      <c r="T75" s="48"/>
      <c r="U75" s="48"/>
      <c r="V75" s="48"/>
      <c r="W75" s="48"/>
      <c r="X75" s="48"/>
      <c r="Y75" s="48"/>
      <c r="Z75" s="48"/>
      <c r="AA75" s="48">
        <v>1</v>
      </c>
      <c r="AB75" s="48">
        <v>1</v>
      </c>
      <c r="AC75" s="69"/>
      <c r="AD75" s="48">
        <v>5.6</v>
      </c>
      <c r="AE75" s="48">
        <v>4.37</v>
      </c>
      <c r="AF75" s="48">
        <v>1</v>
      </c>
      <c r="AG75" s="48">
        <v>1</v>
      </c>
      <c r="AH75" s="48"/>
      <c r="AI75" s="48"/>
      <c r="AJ75" s="48"/>
      <c r="AK75" s="70"/>
      <c r="AL75" s="48"/>
      <c r="AM75" s="48"/>
      <c r="AN75" s="70">
        <v>1</v>
      </c>
      <c r="AO75" s="70"/>
      <c r="AP75" s="70"/>
      <c r="AQ75" s="70"/>
      <c r="AR75" s="70"/>
      <c r="AS75" s="25"/>
      <c r="BB75" s="5"/>
      <c r="BC75" s="5"/>
      <c r="BD75" s="5"/>
      <c r="BE75" s="5"/>
      <c r="BF75" s="5"/>
      <c r="BG75" s="5"/>
      <c r="BH75" s="5"/>
      <c r="BI75" s="5"/>
      <c r="BJ75" s="5"/>
      <c r="BK75" s="5"/>
      <c r="BL75" s="5"/>
      <c r="BM75" s="5"/>
      <c r="BN75" s="5"/>
    </row>
    <row r="76" spans="1:66" ht="32.1" customHeight="1" x14ac:dyDescent="0.2">
      <c r="A76" s="27" t="s">
        <v>186</v>
      </c>
      <c r="B76" s="12"/>
      <c r="C76" s="36"/>
      <c r="D76" s="36"/>
      <c r="E76" s="36"/>
      <c r="F76" s="36"/>
      <c r="G76" s="68"/>
      <c r="H76" s="68"/>
      <c r="I76" s="48"/>
      <c r="J76" s="48"/>
      <c r="K76" s="49"/>
      <c r="L76" s="48"/>
      <c r="M76" s="49"/>
      <c r="N76" s="49"/>
      <c r="O76" s="48"/>
      <c r="P76" s="48"/>
      <c r="Q76" s="48"/>
      <c r="R76" s="48"/>
      <c r="S76" s="48"/>
      <c r="T76" s="48"/>
      <c r="U76" s="48"/>
      <c r="V76" s="48"/>
      <c r="W76" s="48"/>
      <c r="X76" s="48"/>
      <c r="Y76" s="48"/>
      <c r="Z76" s="48"/>
      <c r="AA76" s="48">
        <v>1</v>
      </c>
      <c r="AB76" s="48">
        <v>1</v>
      </c>
      <c r="AC76" s="69"/>
      <c r="AD76" s="48">
        <v>5.6</v>
      </c>
      <c r="AE76" s="48">
        <v>4.37</v>
      </c>
      <c r="AF76" s="48">
        <v>1</v>
      </c>
      <c r="AG76" s="48">
        <v>1</v>
      </c>
      <c r="AH76" s="48"/>
      <c r="AI76" s="48"/>
      <c r="AJ76" s="48"/>
      <c r="AK76" s="70"/>
      <c r="AL76" s="48"/>
      <c r="AM76" s="48"/>
      <c r="AN76" s="70">
        <v>1</v>
      </c>
      <c r="AO76" s="70"/>
      <c r="AP76" s="70"/>
      <c r="AQ76" s="70"/>
      <c r="AR76" s="70"/>
      <c r="AS76" s="25"/>
      <c r="BB76" s="5"/>
      <c r="BC76" s="5"/>
      <c r="BD76" s="5"/>
      <c r="BE76" s="5"/>
      <c r="BF76" s="5"/>
      <c r="BG76" s="5"/>
      <c r="BH76" s="5"/>
      <c r="BI76" s="5"/>
      <c r="BJ76" s="5"/>
      <c r="BK76" s="5"/>
      <c r="BL76" s="5"/>
      <c r="BM76" s="5"/>
      <c r="BN76" s="5"/>
    </row>
    <row r="77" spans="1:66" ht="32.1" customHeight="1" x14ac:dyDescent="0.2">
      <c r="A77" s="27" t="s">
        <v>187</v>
      </c>
      <c r="B77" s="12"/>
      <c r="C77" s="36"/>
      <c r="D77" s="36"/>
      <c r="E77" s="36"/>
      <c r="F77" s="36"/>
      <c r="G77" s="68"/>
      <c r="H77" s="68"/>
      <c r="I77" s="48"/>
      <c r="J77" s="48"/>
      <c r="K77" s="49"/>
      <c r="L77" s="48"/>
      <c r="M77" s="49"/>
      <c r="N77" s="49"/>
      <c r="O77" s="48"/>
      <c r="P77" s="48"/>
      <c r="Q77" s="48"/>
      <c r="R77" s="48"/>
      <c r="S77" s="48"/>
      <c r="T77" s="48"/>
      <c r="U77" s="48"/>
      <c r="V77" s="48"/>
      <c r="W77" s="48"/>
      <c r="X77" s="48"/>
      <c r="Y77" s="48"/>
      <c r="Z77" s="48"/>
      <c r="AA77" s="48">
        <v>1</v>
      </c>
      <c r="AB77" s="48">
        <v>1</v>
      </c>
      <c r="AC77" s="69"/>
      <c r="AD77" s="48">
        <v>5.6</v>
      </c>
      <c r="AE77" s="48">
        <v>4.37</v>
      </c>
      <c r="AF77" s="48">
        <v>1</v>
      </c>
      <c r="AG77" s="48">
        <v>1</v>
      </c>
      <c r="AH77" s="48"/>
      <c r="AI77" s="48"/>
      <c r="AJ77" s="48"/>
      <c r="AK77" s="70"/>
      <c r="AL77" s="48"/>
      <c r="AM77" s="48"/>
      <c r="AN77" s="70">
        <v>1</v>
      </c>
      <c r="AO77" s="70"/>
      <c r="AP77" s="70"/>
      <c r="AQ77" s="70"/>
      <c r="AR77" s="70"/>
      <c r="AS77" s="25"/>
    </row>
    <row r="78" spans="1:66" ht="32.1" customHeight="1" x14ac:dyDescent="0.2">
      <c r="A78" s="27" t="s">
        <v>76</v>
      </c>
      <c r="B78" s="12"/>
      <c r="C78" s="36"/>
      <c r="D78" s="36"/>
      <c r="E78" s="36"/>
      <c r="F78" s="36"/>
      <c r="G78" s="68"/>
      <c r="H78" s="68"/>
      <c r="I78" s="48"/>
      <c r="J78" s="48"/>
      <c r="K78" s="49"/>
      <c r="L78" s="48"/>
      <c r="M78" s="49"/>
      <c r="N78" s="49"/>
      <c r="O78" s="48"/>
      <c r="P78" s="48"/>
      <c r="Q78" s="48"/>
      <c r="R78" s="48"/>
      <c r="S78" s="48"/>
      <c r="T78" s="48"/>
      <c r="U78" s="48"/>
      <c r="V78" s="48"/>
      <c r="W78" s="48"/>
      <c r="X78" s="48"/>
      <c r="Y78" s="48"/>
      <c r="Z78" s="48"/>
      <c r="AA78" s="48">
        <v>1</v>
      </c>
      <c r="AB78" s="48">
        <v>1</v>
      </c>
      <c r="AC78" s="69"/>
      <c r="AD78" s="48">
        <v>5.6</v>
      </c>
      <c r="AE78" s="48">
        <v>4.37</v>
      </c>
      <c r="AF78" s="48">
        <v>1</v>
      </c>
      <c r="AG78" s="48">
        <v>1</v>
      </c>
      <c r="AH78" s="48"/>
      <c r="AI78" s="48"/>
      <c r="AJ78" s="48"/>
      <c r="AK78" s="70"/>
      <c r="AL78" s="48"/>
      <c r="AM78" s="48"/>
      <c r="AN78" s="70">
        <v>1</v>
      </c>
      <c r="AO78" s="70"/>
      <c r="AP78" s="70"/>
      <c r="AQ78" s="70"/>
      <c r="AR78" s="70"/>
      <c r="AS78" s="25"/>
    </row>
    <row r="79" spans="1:66" x14ac:dyDescent="0.2">
      <c r="A79" s="27" t="s">
        <v>188</v>
      </c>
      <c r="B79" s="12"/>
      <c r="C79" s="36"/>
      <c r="D79" s="36"/>
      <c r="E79" s="36"/>
      <c r="F79" s="36"/>
      <c r="G79" s="68"/>
      <c r="H79" s="68"/>
      <c r="I79" s="48"/>
      <c r="J79" s="48"/>
      <c r="K79" s="49"/>
      <c r="L79" s="48"/>
      <c r="M79" s="49"/>
      <c r="N79" s="49"/>
      <c r="O79" s="48"/>
      <c r="P79" s="48"/>
      <c r="Q79" s="48"/>
      <c r="R79" s="48"/>
      <c r="S79" s="48"/>
      <c r="T79" s="48"/>
      <c r="U79" s="48"/>
      <c r="V79" s="48"/>
      <c r="W79" s="48"/>
      <c r="X79" s="48"/>
      <c r="Y79" s="48"/>
      <c r="Z79" s="48"/>
      <c r="AA79" s="48">
        <v>1</v>
      </c>
      <c r="AB79" s="48">
        <v>1</v>
      </c>
      <c r="AC79" s="69"/>
      <c r="AD79" s="48">
        <v>5.6</v>
      </c>
      <c r="AE79" s="48">
        <v>4.37</v>
      </c>
      <c r="AF79" s="48">
        <v>1</v>
      </c>
      <c r="AG79" s="48">
        <v>1</v>
      </c>
      <c r="AH79" s="48"/>
      <c r="AI79" s="48"/>
      <c r="AJ79" s="48"/>
      <c r="AK79" s="70"/>
      <c r="AL79" s="48"/>
      <c r="AM79" s="48"/>
      <c r="AN79" s="70">
        <v>1</v>
      </c>
      <c r="AO79" s="70"/>
      <c r="AP79" s="70"/>
      <c r="AQ79" s="70"/>
      <c r="AR79" s="70"/>
    </row>
    <row r="80" spans="1:66" x14ac:dyDescent="0.2">
      <c r="A80" s="27" t="s">
        <v>314</v>
      </c>
      <c r="B80" s="12"/>
      <c r="C80" s="36"/>
      <c r="D80" s="36"/>
      <c r="E80" s="36"/>
      <c r="F80" s="36"/>
      <c r="G80" s="68"/>
      <c r="H80" s="68"/>
      <c r="I80" s="48"/>
      <c r="J80" s="48"/>
      <c r="K80" s="49"/>
      <c r="L80" s="48"/>
      <c r="M80" s="49"/>
      <c r="N80" s="49"/>
      <c r="O80" s="48"/>
      <c r="P80" s="48"/>
      <c r="Q80" s="48"/>
      <c r="R80" s="48"/>
      <c r="S80" s="48"/>
      <c r="T80" s="48"/>
      <c r="U80" s="48"/>
      <c r="V80" s="48"/>
      <c r="W80" s="48"/>
      <c r="X80" s="48"/>
      <c r="Y80" s="48"/>
      <c r="Z80" s="48"/>
      <c r="AA80" s="48">
        <v>1</v>
      </c>
      <c r="AB80" s="48">
        <v>1</v>
      </c>
      <c r="AC80" s="69"/>
      <c r="AD80" s="48">
        <v>5.6</v>
      </c>
      <c r="AE80" s="48">
        <v>4.37</v>
      </c>
      <c r="AF80" s="48">
        <v>1</v>
      </c>
      <c r="AG80" s="48">
        <v>1</v>
      </c>
      <c r="AH80" s="48"/>
      <c r="AI80" s="48"/>
      <c r="AJ80" s="48"/>
      <c r="AK80" s="70"/>
      <c r="AL80" s="48"/>
      <c r="AM80" s="48"/>
      <c r="AN80" s="70">
        <v>1</v>
      </c>
      <c r="AO80" s="70"/>
      <c r="AP80" s="70"/>
      <c r="AQ80" s="70"/>
      <c r="AR80" s="70"/>
    </row>
    <row r="81" spans="1:44" x14ac:dyDescent="0.2">
      <c r="A81" s="27" t="s">
        <v>189</v>
      </c>
      <c r="B81" s="12"/>
      <c r="C81" s="36"/>
      <c r="D81" s="36"/>
      <c r="E81" s="36"/>
      <c r="F81" s="36"/>
      <c r="G81" s="68"/>
      <c r="H81" s="68"/>
      <c r="I81" s="48"/>
      <c r="J81" s="48"/>
      <c r="K81" s="49"/>
      <c r="L81" s="48"/>
      <c r="M81" s="49"/>
      <c r="N81" s="49"/>
      <c r="O81" s="48"/>
      <c r="P81" s="48"/>
      <c r="Q81" s="48"/>
      <c r="R81" s="48"/>
      <c r="S81" s="48"/>
      <c r="T81" s="48"/>
      <c r="U81" s="48"/>
      <c r="V81" s="48"/>
      <c r="W81" s="48"/>
      <c r="X81" s="48"/>
      <c r="Y81" s="48"/>
      <c r="Z81" s="48"/>
      <c r="AA81" s="48">
        <v>1</v>
      </c>
      <c r="AB81" s="48">
        <v>1</v>
      </c>
      <c r="AC81" s="69"/>
      <c r="AD81" s="48">
        <v>5.6</v>
      </c>
      <c r="AE81" s="48">
        <v>4.37</v>
      </c>
      <c r="AF81" s="48">
        <v>1</v>
      </c>
      <c r="AG81" s="48">
        <v>1</v>
      </c>
      <c r="AH81" s="48"/>
      <c r="AI81" s="48"/>
      <c r="AJ81" s="48"/>
      <c r="AK81" s="70"/>
      <c r="AL81" s="48"/>
      <c r="AM81" s="48"/>
      <c r="AN81" s="70">
        <v>1</v>
      </c>
      <c r="AO81" s="70"/>
      <c r="AP81" s="70"/>
      <c r="AQ81" s="70"/>
      <c r="AR81" s="70"/>
    </row>
    <row r="82" spans="1:44" ht="25.5" x14ac:dyDescent="0.2">
      <c r="A82" s="27" t="s">
        <v>190</v>
      </c>
      <c r="B82" s="12"/>
      <c r="C82" s="36"/>
      <c r="D82" s="36"/>
      <c r="E82" s="36"/>
      <c r="F82" s="36"/>
      <c r="G82" s="68"/>
      <c r="H82" s="68"/>
      <c r="I82" s="48"/>
      <c r="J82" s="48"/>
      <c r="K82" s="49"/>
      <c r="L82" s="48"/>
      <c r="M82" s="49"/>
      <c r="N82" s="49"/>
      <c r="O82" s="48"/>
      <c r="P82" s="48"/>
      <c r="Q82" s="48"/>
      <c r="R82" s="48"/>
      <c r="S82" s="48"/>
      <c r="T82" s="48"/>
      <c r="U82" s="48"/>
      <c r="V82" s="48"/>
      <c r="W82" s="48"/>
      <c r="X82" s="48"/>
      <c r="Y82" s="48"/>
      <c r="Z82" s="48"/>
      <c r="AA82" s="48">
        <v>1</v>
      </c>
      <c r="AB82" s="48">
        <v>1</v>
      </c>
      <c r="AC82" s="69"/>
      <c r="AD82" s="48">
        <v>5.6</v>
      </c>
      <c r="AE82" s="48">
        <v>4.37</v>
      </c>
      <c r="AF82" s="48">
        <v>1</v>
      </c>
      <c r="AG82" s="48">
        <v>1</v>
      </c>
      <c r="AH82" s="48"/>
      <c r="AI82" s="48"/>
      <c r="AJ82" s="48"/>
      <c r="AK82" s="70"/>
      <c r="AL82" s="48"/>
      <c r="AM82" s="48"/>
      <c r="AN82" s="70">
        <v>1</v>
      </c>
      <c r="AO82" s="70"/>
      <c r="AP82" s="70"/>
      <c r="AQ82" s="70"/>
      <c r="AR82" s="70"/>
    </row>
    <row r="83" spans="1:44" x14ac:dyDescent="0.2">
      <c r="A83" s="27" t="s">
        <v>191</v>
      </c>
      <c r="B83" s="12"/>
      <c r="C83" s="36"/>
      <c r="D83" s="36"/>
      <c r="E83" s="36"/>
      <c r="F83" s="36"/>
      <c r="G83" s="68"/>
      <c r="H83" s="68"/>
      <c r="I83" s="48"/>
      <c r="J83" s="48"/>
      <c r="K83" s="49"/>
      <c r="L83" s="48"/>
      <c r="M83" s="49"/>
      <c r="N83" s="49"/>
      <c r="O83" s="48"/>
      <c r="P83" s="48"/>
      <c r="Q83" s="48"/>
      <c r="R83" s="48"/>
      <c r="S83" s="48"/>
      <c r="T83" s="48"/>
      <c r="U83" s="48"/>
      <c r="V83" s="48"/>
      <c r="W83" s="48"/>
      <c r="X83" s="48"/>
      <c r="Y83" s="48"/>
      <c r="Z83" s="48"/>
      <c r="AA83" s="48">
        <v>1</v>
      </c>
      <c r="AB83" s="48">
        <v>1</v>
      </c>
      <c r="AC83" s="69"/>
      <c r="AD83" s="48">
        <v>5.6</v>
      </c>
      <c r="AE83" s="48">
        <v>4.37</v>
      </c>
      <c r="AF83" s="48">
        <v>1</v>
      </c>
      <c r="AG83" s="48">
        <v>1</v>
      </c>
      <c r="AH83" s="48"/>
      <c r="AI83" s="48"/>
      <c r="AJ83" s="48"/>
      <c r="AK83" s="70"/>
      <c r="AL83" s="48"/>
      <c r="AM83" s="48"/>
      <c r="AN83" s="70">
        <v>1</v>
      </c>
      <c r="AO83" s="70"/>
      <c r="AP83" s="70"/>
      <c r="AQ83" s="70"/>
      <c r="AR83" s="70"/>
    </row>
    <row r="84" spans="1:44" x14ac:dyDescent="0.2">
      <c r="A84" s="27" t="s">
        <v>404</v>
      </c>
      <c r="B84" s="12"/>
      <c r="C84" s="36"/>
      <c r="D84" s="36"/>
      <c r="E84" s="36"/>
      <c r="F84" s="36"/>
      <c r="G84" s="68"/>
      <c r="H84" s="68"/>
      <c r="I84" s="48"/>
      <c r="J84" s="48"/>
      <c r="K84" s="49"/>
      <c r="L84" s="48"/>
      <c r="M84" s="49"/>
      <c r="N84" s="49"/>
      <c r="O84" s="48"/>
      <c r="P84" s="48"/>
      <c r="Q84" s="48"/>
      <c r="R84" s="48"/>
      <c r="S84" s="48"/>
      <c r="T84" s="48"/>
      <c r="U84" s="48"/>
      <c r="V84" s="48"/>
      <c r="W84" s="48"/>
      <c r="X84" s="48"/>
      <c r="Y84" s="48"/>
      <c r="Z84" s="48"/>
      <c r="AA84" s="48">
        <v>1</v>
      </c>
      <c r="AB84" s="48">
        <v>1</v>
      </c>
      <c r="AC84" s="69"/>
      <c r="AD84" s="48">
        <v>5.6</v>
      </c>
      <c r="AE84" s="48">
        <v>4.37</v>
      </c>
      <c r="AF84" s="48">
        <v>1</v>
      </c>
      <c r="AG84" s="48">
        <v>1</v>
      </c>
      <c r="AH84" s="48"/>
      <c r="AI84" s="48"/>
      <c r="AJ84" s="48"/>
      <c r="AK84" s="70"/>
      <c r="AL84" s="48"/>
      <c r="AM84" s="48"/>
      <c r="AN84" s="70">
        <v>1</v>
      </c>
      <c r="AO84" s="70"/>
      <c r="AP84" s="70"/>
      <c r="AQ84" s="70"/>
      <c r="AR84" s="70"/>
    </row>
    <row r="85" spans="1:44" x14ac:dyDescent="0.2">
      <c r="A85" s="27" t="s">
        <v>192</v>
      </c>
      <c r="B85" s="12"/>
      <c r="C85" s="36"/>
      <c r="D85" s="36"/>
      <c r="E85" s="36"/>
      <c r="F85" s="36"/>
      <c r="G85" s="68"/>
      <c r="H85" s="68"/>
      <c r="I85" s="48"/>
      <c r="J85" s="48"/>
      <c r="K85" s="49"/>
      <c r="L85" s="48"/>
      <c r="M85" s="49"/>
      <c r="N85" s="49"/>
      <c r="O85" s="48"/>
      <c r="P85" s="48"/>
      <c r="Q85" s="48"/>
      <c r="R85" s="48"/>
      <c r="S85" s="48"/>
      <c r="T85" s="48"/>
      <c r="U85" s="48"/>
      <c r="V85" s="48"/>
      <c r="W85" s="48"/>
      <c r="X85" s="48"/>
      <c r="Y85" s="48"/>
      <c r="Z85" s="48"/>
      <c r="AA85" s="48">
        <v>1</v>
      </c>
      <c r="AB85" s="48">
        <v>1</v>
      </c>
      <c r="AC85" s="69"/>
      <c r="AD85" s="48">
        <v>5.6</v>
      </c>
      <c r="AE85" s="48">
        <v>4.37</v>
      </c>
      <c r="AF85" s="48">
        <v>1</v>
      </c>
      <c r="AG85" s="48">
        <v>1</v>
      </c>
      <c r="AH85" s="48"/>
      <c r="AI85" s="48"/>
      <c r="AJ85" s="48"/>
      <c r="AK85" s="70"/>
      <c r="AL85" s="48"/>
      <c r="AM85" s="48"/>
      <c r="AN85" s="70">
        <v>1</v>
      </c>
      <c r="AO85" s="70"/>
      <c r="AP85" s="70"/>
      <c r="AQ85" s="70"/>
      <c r="AR85" s="70"/>
    </row>
    <row r="86" spans="1:44" x14ac:dyDescent="0.2">
      <c r="A86" s="27" t="s">
        <v>193</v>
      </c>
      <c r="B86" s="12"/>
      <c r="C86" s="36"/>
      <c r="D86" s="36"/>
      <c r="E86" s="36"/>
      <c r="F86" s="36"/>
      <c r="G86" s="68"/>
      <c r="H86" s="68"/>
      <c r="I86" s="48"/>
      <c r="J86" s="48"/>
      <c r="K86" s="49"/>
      <c r="L86" s="49"/>
      <c r="M86" s="49"/>
      <c r="N86" s="49"/>
      <c r="O86" s="48"/>
      <c r="P86" s="48"/>
      <c r="Q86" s="48"/>
      <c r="R86" s="48"/>
      <c r="S86" s="48"/>
      <c r="T86" s="48"/>
      <c r="U86" s="48"/>
      <c r="V86" s="48"/>
      <c r="W86" s="48"/>
      <c r="X86" s="48"/>
      <c r="Y86" s="48"/>
      <c r="Z86" s="48"/>
      <c r="AA86" s="48">
        <v>1</v>
      </c>
      <c r="AB86" s="48">
        <v>1</v>
      </c>
      <c r="AC86" s="69"/>
      <c r="AD86" s="48">
        <v>5.6</v>
      </c>
      <c r="AE86" s="48">
        <v>4.37</v>
      </c>
      <c r="AF86" s="48">
        <v>1</v>
      </c>
      <c r="AG86" s="48">
        <v>1</v>
      </c>
      <c r="AH86" s="48"/>
      <c r="AI86" s="48"/>
      <c r="AJ86" s="48"/>
      <c r="AK86" s="70"/>
      <c r="AL86" s="48"/>
      <c r="AM86" s="48"/>
      <c r="AN86" s="70">
        <v>1</v>
      </c>
      <c r="AO86" s="70"/>
      <c r="AP86" s="70"/>
      <c r="AQ86" s="70"/>
      <c r="AR86" s="70"/>
    </row>
    <row r="87" spans="1:44" x14ac:dyDescent="0.2">
      <c r="A87" s="28" t="s">
        <v>222</v>
      </c>
      <c r="B87" s="12"/>
      <c r="C87" s="36"/>
      <c r="D87" s="36"/>
      <c r="E87" s="36"/>
      <c r="F87" s="36"/>
      <c r="G87" s="68"/>
      <c r="H87" s="68"/>
      <c r="I87" s="48"/>
      <c r="J87" s="48"/>
      <c r="K87" s="49"/>
      <c r="L87" s="49"/>
      <c r="M87" s="49"/>
      <c r="N87" s="49"/>
      <c r="O87" s="48"/>
      <c r="P87" s="48"/>
      <c r="Q87" s="48"/>
      <c r="R87" s="48"/>
      <c r="S87" s="48"/>
      <c r="T87" s="48"/>
      <c r="U87" s="48"/>
      <c r="V87" s="48"/>
      <c r="W87" s="48"/>
      <c r="X87" s="48"/>
      <c r="Y87" s="48"/>
      <c r="Z87" s="48"/>
      <c r="AA87" s="48">
        <v>1</v>
      </c>
      <c r="AB87" s="48">
        <v>1</v>
      </c>
      <c r="AC87" s="69"/>
      <c r="AD87" s="48">
        <v>5.6</v>
      </c>
      <c r="AE87" s="48">
        <v>4.37</v>
      </c>
      <c r="AF87" s="48">
        <v>1</v>
      </c>
      <c r="AG87" s="48">
        <v>1</v>
      </c>
      <c r="AH87" s="48"/>
      <c r="AI87" s="48"/>
      <c r="AJ87" s="48"/>
      <c r="AK87" s="70"/>
      <c r="AL87" s="48"/>
      <c r="AM87" s="48"/>
      <c r="AN87" s="70">
        <v>1</v>
      </c>
      <c r="AO87" s="70"/>
      <c r="AP87" s="70"/>
      <c r="AQ87" s="70"/>
      <c r="AR87" s="70"/>
    </row>
    <row r="88" spans="1:44" x14ac:dyDescent="0.2">
      <c r="A88" s="27" t="s">
        <v>108</v>
      </c>
      <c r="B88" s="12"/>
      <c r="C88" s="36"/>
      <c r="D88" s="36"/>
      <c r="E88" s="36"/>
      <c r="F88" s="36"/>
      <c r="G88" s="68"/>
      <c r="H88" s="68"/>
      <c r="I88" s="48"/>
      <c r="J88" s="48"/>
      <c r="K88" s="48"/>
      <c r="L88" s="48"/>
      <c r="M88" s="48"/>
      <c r="N88" s="48"/>
      <c r="O88" s="48"/>
      <c r="P88" s="48"/>
      <c r="Q88" s="48"/>
      <c r="R88" s="48"/>
      <c r="S88" s="48"/>
      <c r="T88" s="48"/>
      <c r="U88" s="48"/>
      <c r="V88" s="48"/>
      <c r="W88" s="48"/>
      <c r="X88" s="48"/>
      <c r="Y88" s="48"/>
      <c r="Z88" s="48"/>
      <c r="AA88" s="48">
        <v>1</v>
      </c>
      <c r="AB88" s="48">
        <v>1</v>
      </c>
      <c r="AC88" s="69"/>
      <c r="AD88" s="48">
        <v>5.6</v>
      </c>
      <c r="AE88" s="48">
        <v>4.37</v>
      </c>
      <c r="AF88" s="48">
        <v>1</v>
      </c>
      <c r="AG88" s="48">
        <v>1</v>
      </c>
      <c r="AH88" s="48"/>
      <c r="AI88" s="48"/>
      <c r="AJ88" s="48"/>
      <c r="AK88" s="70"/>
      <c r="AL88" s="48"/>
      <c r="AM88" s="48"/>
      <c r="AN88" s="70">
        <v>1</v>
      </c>
      <c r="AO88" s="70"/>
      <c r="AP88" s="70"/>
      <c r="AQ88" s="70"/>
      <c r="AR88" s="70"/>
    </row>
    <row r="89" spans="1:44" x14ac:dyDescent="0.2">
      <c r="A89" s="27" t="s">
        <v>107</v>
      </c>
      <c r="B89" s="12"/>
      <c r="C89" s="36"/>
      <c r="D89" s="36"/>
      <c r="E89" s="36"/>
      <c r="F89" s="36"/>
      <c r="G89" s="68"/>
      <c r="H89" s="68"/>
      <c r="I89" s="48"/>
      <c r="J89" s="48"/>
      <c r="K89" s="48"/>
      <c r="L89" s="48"/>
      <c r="M89" s="48"/>
      <c r="N89" s="48"/>
      <c r="O89" s="48"/>
      <c r="P89" s="48"/>
      <c r="Q89" s="48"/>
      <c r="R89" s="48"/>
      <c r="S89" s="48"/>
      <c r="T89" s="48"/>
      <c r="U89" s="48"/>
      <c r="V89" s="48"/>
      <c r="W89" s="48"/>
      <c r="X89" s="48"/>
      <c r="Y89" s="48"/>
      <c r="Z89" s="48"/>
      <c r="AA89" s="48">
        <v>1</v>
      </c>
      <c r="AB89" s="48">
        <v>1</v>
      </c>
      <c r="AC89" s="69"/>
      <c r="AD89" s="48">
        <v>5.6</v>
      </c>
      <c r="AE89" s="48">
        <v>4.37</v>
      </c>
      <c r="AF89" s="48">
        <v>1</v>
      </c>
      <c r="AG89" s="48">
        <v>1</v>
      </c>
      <c r="AH89" s="48"/>
      <c r="AI89" s="48"/>
      <c r="AJ89" s="48"/>
      <c r="AK89" s="70"/>
      <c r="AL89" s="48"/>
      <c r="AM89" s="48"/>
      <c r="AN89" s="70">
        <v>1</v>
      </c>
      <c r="AO89" s="70"/>
      <c r="AP89" s="70"/>
      <c r="AQ89" s="70"/>
      <c r="AR89" s="70"/>
    </row>
    <row r="90" spans="1:44" x14ac:dyDescent="0.2">
      <c r="A90" s="27" t="s">
        <v>197</v>
      </c>
      <c r="B90" s="12"/>
      <c r="C90" s="36"/>
      <c r="D90" s="36"/>
      <c r="E90" s="36"/>
      <c r="F90" s="36"/>
      <c r="G90" s="68"/>
      <c r="H90" s="68"/>
      <c r="I90" s="48"/>
      <c r="J90" s="48"/>
      <c r="K90" s="48"/>
      <c r="L90" s="48"/>
      <c r="M90" s="48"/>
      <c r="N90" s="48"/>
      <c r="O90" s="48"/>
      <c r="P90" s="48"/>
      <c r="Q90" s="48"/>
      <c r="R90" s="48"/>
      <c r="S90" s="48"/>
      <c r="T90" s="48"/>
      <c r="U90" s="48"/>
      <c r="V90" s="48"/>
      <c r="W90" s="48"/>
      <c r="X90" s="48"/>
      <c r="Y90" s="48"/>
      <c r="Z90" s="48"/>
      <c r="AA90" s="48">
        <v>1</v>
      </c>
      <c r="AB90" s="48">
        <v>1</v>
      </c>
      <c r="AC90" s="69"/>
      <c r="AD90" s="48">
        <v>5.6</v>
      </c>
      <c r="AE90" s="48">
        <v>4.37</v>
      </c>
      <c r="AF90" s="48">
        <v>1</v>
      </c>
      <c r="AG90" s="48">
        <v>1</v>
      </c>
      <c r="AH90" s="48"/>
      <c r="AI90" s="48"/>
      <c r="AJ90" s="48"/>
      <c r="AK90" s="70"/>
      <c r="AL90" s="48"/>
      <c r="AM90" s="48"/>
      <c r="AN90" s="70">
        <v>1</v>
      </c>
      <c r="AO90" s="70"/>
      <c r="AP90" s="70"/>
      <c r="AQ90" s="70"/>
      <c r="AR90" s="70"/>
    </row>
    <row r="91" spans="1:44" x14ac:dyDescent="0.2">
      <c r="A91" s="27" t="s">
        <v>196</v>
      </c>
      <c r="B91" s="12"/>
      <c r="C91" s="36"/>
      <c r="D91" s="36"/>
      <c r="E91" s="36"/>
      <c r="F91" s="36"/>
      <c r="G91" s="68"/>
      <c r="H91" s="68"/>
      <c r="I91" s="48"/>
      <c r="J91" s="48"/>
      <c r="K91" s="48"/>
      <c r="L91" s="48"/>
      <c r="M91" s="48"/>
      <c r="N91" s="48"/>
      <c r="O91" s="48"/>
      <c r="P91" s="48"/>
      <c r="Q91" s="48"/>
      <c r="R91" s="48"/>
      <c r="S91" s="48"/>
      <c r="T91" s="48"/>
      <c r="U91" s="48"/>
      <c r="V91" s="48"/>
      <c r="W91" s="48"/>
      <c r="X91" s="48"/>
      <c r="Y91" s="48"/>
      <c r="Z91" s="48"/>
      <c r="AA91" s="48">
        <v>1</v>
      </c>
      <c r="AB91" s="48">
        <v>1</v>
      </c>
      <c r="AC91" s="69"/>
      <c r="AD91" s="48">
        <v>5.6</v>
      </c>
      <c r="AE91" s="48">
        <v>4.37</v>
      </c>
      <c r="AF91" s="48">
        <v>1</v>
      </c>
      <c r="AG91" s="48">
        <v>1</v>
      </c>
      <c r="AH91" s="48"/>
      <c r="AI91" s="48"/>
      <c r="AJ91" s="48"/>
      <c r="AK91" s="70"/>
      <c r="AL91" s="48"/>
      <c r="AM91" s="48"/>
      <c r="AN91" s="70">
        <v>1</v>
      </c>
      <c r="AO91" s="70"/>
      <c r="AP91" s="70"/>
      <c r="AQ91" s="70"/>
      <c r="AR91" s="70"/>
    </row>
    <row r="92" spans="1:44" x14ac:dyDescent="0.2">
      <c r="A92" s="27" t="s">
        <v>195</v>
      </c>
      <c r="B92" s="12"/>
      <c r="C92" s="36"/>
      <c r="D92" s="36"/>
      <c r="E92" s="36"/>
      <c r="F92" s="36"/>
      <c r="G92" s="68"/>
      <c r="H92" s="68"/>
      <c r="I92" s="48"/>
      <c r="J92" s="48"/>
      <c r="K92" s="48"/>
      <c r="L92" s="48"/>
      <c r="M92" s="48"/>
      <c r="N92" s="48"/>
      <c r="O92" s="48"/>
      <c r="P92" s="48"/>
      <c r="Q92" s="48"/>
      <c r="R92" s="48"/>
      <c r="S92" s="48"/>
      <c r="T92" s="48"/>
      <c r="U92" s="48"/>
      <c r="V92" s="48"/>
      <c r="W92" s="48"/>
      <c r="X92" s="48"/>
      <c r="Y92" s="48"/>
      <c r="Z92" s="48"/>
      <c r="AA92" s="48">
        <v>1</v>
      </c>
      <c r="AB92" s="48">
        <v>1</v>
      </c>
      <c r="AC92" s="69"/>
      <c r="AD92" s="48">
        <v>5.6</v>
      </c>
      <c r="AE92" s="48">
        <v>4.37</v>
      </c>
      <c r="AF92" s="48">
        <v>1</v>
      </c>
      <c r="AG92" s="48">
        <v>1</v>
      </c>
      <c r="AH92" s="48"/>
      <c r="AI92" s="48"/>
      <c r="AJ92" s="48"/>
      <c r="AK92" s="70"/>
      <c r="AL92" s="48"/>
      <c r="AM92" s="48"/>
      <c r="AN92" s="70">
        <v>1</v>
      </c>
      <c r="AO92" s="70"/>
      <c r="AP92" s="70"/>
      <c r="AQ92" s="70"/>
      <c r="AR92" s="70"/>
    </row>
    <row r="93" spans="1:44" x14ac:dyDescent="0.2">
      <c r="A93" s="27" t="s">
        <v>177</v>
      </c>
      <c r="B93" s="12"/>
      <c r="C93" s="36"/>
      <c r="D93" s="36"/>
      <c r="E93" s="36"/>
      <c r="F93" s="36"/>
      <c r="G93" s="68"/>
      <c r="H93" s="68"/>
      <c r="I93" s="48"/>
      <c r="J93" s="48"/>
      <c r="K93" s="48"/>
      <c r="L93" s="48"/>
      <c r="M93" s="48"/>
      <c r="N93" s="48"/>
      <c r="O93" s="48"/>
      <c r="P93" s="48"/>
      <c r="Q93" s="48"/>
      <c r="R93" s="48"/>
      <c r="S93" s="48"/>
      <c r="T93" s="48"/>
      <c r="U93" s="48"/>
      <c r="V93" s="48"/>
      <c r="W93" s="48"/>
      <c r="X93" s="48"/>
      <c r="Y93" s="48"/>
      <c r="Z93" s="48"/>
      <c r="AA93" s="48">
        <v>1</v>
      </c>
      <c r="AB93" s="48">
        <v>1</v>
      </c>
      <c r="AC93" s="69"/>
      <c r="AD93" s="48">
        <v>5.6</v>
      </c>
      <c r="AE93" s="48">
        <v>4.37</v>
      </c>
      <c r="AF93" s="48">
        <v>1</v>
      </c>
      <c r="AG93" s="48">
        <v>1</v>
      </c>
      <c r="AH93" s="48"/>
      <c r="AI93" s="48"/>
      <c r="AJ93" s="48"/>
      <c r="AK93" s="70"/>
      <c r="AL93" s="48"/>
      <c r="AM93" s="48"/>
      <c r="AN93" s="70">
        <v>1</v>
      </c>
      <c r="AO93" s="70"/>
      <c r="AP93" s="70"/>
      <c r="AQ93" s="70"/>
      <c r="AR93" s="70"/>
    </row>
    <row r="94" spans="1:44" x14ac:dyDescent="0.2">
      <c r="A94" s="27" t="s">
        <v>178</v>
      </c>
      <c r="B94" s="12"/>
      <c r="C94" s="36"/>
      <c r="D94" s="36"/>
      <c r="E94" s="36"/>
      <c r="F94" s="36"/>
      <c r="G94" s="68"/>
      <c r="H94" s="68"/>
      <c r="I94" s="48"/>
      <c r="J94" s="48"/>
      <c r="K94" s="48"/>
      <c r="L94" s="48"/>
      <c r="M94" s="48"/>
      <c r="N94" s="48"/>
      <c r="O94" s="48"/>
      <c r="P94" s="48"/>
      <c r="Q94" s="48"/>
      <c r="R94" s="48"/>
      <c r="S94" s="48"/>
      <c r="T94" s="48"/>
      <c r="U94" s="48"/>
      <c r="V94" s="48"/>
      <c r="W94" s="48"/>
      <c r="X94" s="48"/>
      <c r="Y94" s="48"/>
      <c r="Z94" s="48"/>
      <c r="AA94" s="48">
        <v>1</v>
      </c>
      <c r="AB94" s="48">
        <v>1</v>
      </c>
      <c r="AC94" s="69"/>
      <c r="AD94" s="48">
        <v>5.6</v>
      </c>
      <c r="AE94" s="48">
        <v>4.37</v>
      </c>
      <c r="AF94" s="48">
        <v>1</v>
      </c>
      <c r="AG94" s="48">
        <v>1</v>
      </c>
      <c r="AH94" s="48"/>
      <c r="AI94" s="48"/>
      <c r="AJ94" s="48"/>
      <c r="AK94" s="70"/>
      <c r="AL94" s="48"/>
      <c r="AM94" s="48"/>
      <c r="AN94" s="70">
        <v>1</v>
      </c>
      <c r="AO94" s="70"/>
      <c r="AP94" s="70"/>
      <c r="AQ94" s="70"/>
      <c r="AR94" s="70"/>
    </row>
    <row r="95" spans="1:44" x14ac:dyDescent="0.2">
      <c r="A95" s="27" t="s">
        <v>498</v>
      </c>
      <c r="B95" s="12"/>
      <c r="C95" s="36"/>
      <c r="D95" s="36"/>
      <c r="E95" s="36"/>
      <c r="F95" s="36"/>
      <c r="G95" s="68"/>
      <c r="H95" s="68"/>
      <c r="I95" s="48"/>
      <c r="J95" s="48"/>
      <c r="K95" s="48"/>
      <c r="L95" s="48"/>
      <c r="M95" s="48"/>
      <c r="N95" s="48"/>
      <c r="O95" s="48"/>
      <c r="P95" s="48"/>
      <c r="Q95" s="48"/>
      <c r="R95" s="48"/>
      <c r="S95" s="48"/>
      <c r="T95" s="48"/>
      <c r="U95" s="48"/>
      <c r="V95" s="48"/>
      <c r="W95" s="48"/>
      <c r="X95" s="48"/>
      <c r="Y95" s="48"/>
      <c r="Z95" s="48"/>
      <c r="AA95" s="48">
        <v>1</v>
      </c>
      <c r="AB95" s="48">
        <v>1</v>
      </c>
      <c r="AC95" s="69"/>
      <c r="AD95" s="48">
        <v>5.6</v>
      </c>
      <c r="AE95" s="48">
        <v>4.37</v>
      </c>
      <c r="AF95" s="48">
        <v>1</v>
      </c>
      <c r="AG95" s="48">
        <v>1</v>
      </c>
      <c r="AH95" s="48"/>
      <c r="AI95" s="48"/>
      <c r="AJ95" s="48"/>
      <c r="AK95" s="70"/>
      <c r="AL95" s="48"/>
      <c r="AM95" s="48"/>
      <c r="AN95" s="70">
        <v>1</v>
      </c>
      <c r="AO95" s="70"/>
      <c r="AP95" s="70"/>
      <c r="AQ95" s="70"/>
      <c r="AR95" s="70"/>
    </row>
    <row r="96" spans="1:44" x14ac:dyDescent="0.2">
      <c r="A96" s="27" t="s">
        <v>194</v>
      </c>
      <c r="B96" s="12"/>
      <c r="C96" s="36"/>
      <c r="D96" s="36"/>
      <c r="E96" s="36"/>
      <c r="F96" s="36"/>
      <c r="G96" s="68"/>
      <c r="H96" s="68"/>
      <c r="I96" s="48"/>
      <c r="J96" s="48"/>
      <c r="K96" s="48"/>
      <c r="L96" s="48"/>
      <c r="M96" s="48"/>
      <c r="N96" s="48"/>
      <c r="O96" s="48"/>
      <c r="P96" s="48"/>
      <c r="Q96" s="48"/>
      <c r="R96" s="48"/>
      <c r="S96" s="48"/>
      <c r="T96" s="48"/>
      <c r="U96" s="48"/>
      <c r="V96" s="48"/>
      <c r="W96" s="48"/>
      <c r="X96" s="48"/>
      <c r="Y96" s="48"/>
      <c r="Z96" s="48"/>
      <c r="AA96" s="48">
        <v>1</v>
      </c>
      <c r="AB96" s="48">
        <v>1</v>
      </c>
      <c r="AC96" s="69"/>
      <c r="AD96" s="48">
        <v>5.6</v>
      </c>
      <c r="AE96" s="48">
        <v>4.37</v>
      </c>
      <c r="AF96" s="48">
        <v>1</v>
      </c>
      <c r="AG96" s="48">
        <v>1</v>
      </c>
      <c r="AH96" s="48"/>
      <c r="AI96" s="48"/>
      <c r="AJ96" s="48"/>
      <c r="AK96" s="70"/>
      <c r="AL96" s="48"/>
      <c r="AM96" s="48"/>
      <c r="AN96" s="70">
        <v>1</v>
      </c>
      <c r="AO96" s="70"/>
      <c r="AP96" s="70"/>
      <c r="AQ96" s="70"/>
      <c r="AR96" s="70"/>
    </row>
  </sheetData>
  <autoFilter ref="A3:AL3" xr:uid="{00000000-0009-0000-0000-000002000000}"/>
  <mergeCells count="3">
    <mergeCell ref="G2:H2"/>
    <mergeCell ref="BO37:BP37"/>
    <mergeCell ref="BR37:BS37"/>
  </mergeCells>
  <phoneticPr fontId="7" type="noConversion"/>
  <hyperlinks>
    <hyperlink ref="BQ58" location="_ftnref1" display="_ftnref1" xr:uid="{00000000-0004-0000-0200-000000000000}"/>
  </hyperlinks>
  <pageMargins left="0.75" right="0.75" top="1" bottom="1" header="0.5" footer="0.5"/>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
  <sheetViews>
    <sheetView workbookViewId="0">
      <selection activeCell="B64" sqref="B64:E64"/>
    </sheetView>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
  <sheetViews>
    <sheetView workbookViewId="0">
      <selection activeCell="L27" sqref="L27"/>
    </sheetView>
  </sheetViews>
  <sheetFormatPr defaultRowHeight="12.75"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
  <sheetViews>
    <sheetView workbookViewId="0">
      <selection activeCell="M27" sqref="M27"/>
    </sheetView>
  </sheetViews>
  <sheetFormatPr defaultRowHeight="12.75" x14ac:dyDescent="0.2"/>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AN255"/>
  <sheetViews>
    <sheetView zoomScale="85" zoomScaleNormal="85" workbookViewId="0">
      <pane ySplit="2" topLeftCell="A3" activePane="bottomLeft" state="frozen"/>
      <selection activeCell="M4" sqref="M4"/>
      <selection pane="bottomLeft" activeCell="C29" sqref="C29"/>
    </sheetView>
  </sheetViews>
  <sheetFormatPr defaultColWidth="0" defaultRowHeight="12.75" x14ac:dyDescent="0.2"/>
  <cols>
    <col min="1" max="1" width="5.42578125" style="117" customWidth="1"/>
    <col min="2" max="2" width="35.140625" style="117" customWidth="1"/>
    <col min="3" max="6" width="28.7109375" style="117" customWidth="1"/>
    <col min="7" max="7" width="28.7109375" style="187" customWidth="1"/>
    <col min="8" max="8" width="5.7109375" style="117" customWidth="1"/>
    <col min="9" max="9" width="10.42578125" style="117" customWidth="1"/>
    <col min="10" max="10" width="42.42578125" style="117" customWidth="1"/>
    <col min="11" max="12" width="31" style="117" hidden="1" customWidth="1"/>
    <col min="13" max="13" width="32.28515625" style="117" hidden="1" customWidth="1"/>
    <col min="14" max="14" width="38.28515625" style="117" hidden="1" customWidth="1"/>
    <col min="15" max="15" width="29" style="117" hidden="1" customWidth="1"/>
    <col min="16" max="16" width="32.7109375" style="117" hidden="1" customWidth="1"/>
    <col min="17" max="17" width="29" style="117" hidden="1" customWidth="1"/>
    <col min="18" max="18" width="33.7109375" style="117" hidden="1" customWidth="1"/>
    <col min="19" max="20" width="29" style="117" hidden="1" customWidth="1"/>
    <col min="21" max="21" width="18.85546875" style="117" hidden="1" customWidth="1"/>
    <col min="22" max="22" width="18.7109375" style="117" customWidth="1"/>
    <col min="23" max="28" width="27.28515625" style="117" customWidth="1"/>
    <col min="29" max="29" width="32.140625" style="299" customWidth="1"/>
    <col min="30" max="31" width="16.5703125" style="117" customWidth="1"/>
    <col min="32" max="32" width="11.28515625" style="117" customWidth="1"/>
    <col min="33" max="39" width="9.140625" style="117" customWidth="1"/>
    <col min="40" max="40" width="9.140625" style="300" customWidth="1"/>
    <col min="41" max="61" width="9.140625" style="117" customWidth="1"/>
    <col min="62" max="16384" width="0" style="117" hidden="1"/>
  </cols>
  <sheetData>
    <row r="1" spans="1:40" s="144" customFormat="1" ht="13.15" customHeight="1" x14ac:dyDescent="0.2">
      <c r="G1" s="145"/>
      <c r="AC1" s="146"/>
      <c r="AN1" s="147"/>
    </row>
    <row r="2" spans="1:40" s="144" customFormat="1" ht="36" customHeight="1" x14ac:dyDescent="0.2">
      <c r="B2" s="534" t="s">
        <v>1019</v>
      </c>
      <c r="C2" s="505"/>
      <c r="D2" s="505"/>
      <c r="E2" s="505"/>
      <c r="F2" s="505"/>
      <c r="G2" s="505"/>
      <c r="AC2" s="146"/>
      <c r="AN2" s="147"/>
    </row>
    <row r="3" spans="1:40" s="144" customFormat="1" ht="15" customHeight="1" x14ac:dyDescent="0.2">
      <c r="AC3" s="146"/>
      <c r="AN3" s="147"/>
    </row>
    <row r="4" spans="1:40" s="144" customFormat="1" ht="32.1" customHeight="1" x14ac:dyDescent="0.2">
      <c r="A4" s="113"/>
      <c r="B4" s="516" t="s">
        <v>1001</v>
      </c>
      <c r="C4" s="516"/>
      <c r="D4" s="516"/>
      <c r="E4" s="516"/>
      <c r="F4" s="516"/>
      <c r="G4" s="516"/>
      <c r="I4" s="253" t="s">
        <v>672</v>
      </c>
      <c r="J4" s="253"/>
      <c r="N4" s="110"/>
      <c r="O4" s="110"/>
      <c r="P4" s="110"/>
      <c r="Q4" s="110"/>
      <c r="R4" s="110"/>
      <c r="S4" s="110"/>
      <c r="T4" s="110"/>
      <c r="U4" s="110"/>
      <c r="V4" s="110"/>
      <c r="W4" s="110"/>
      <c r="X4" s="110"/>
      <c r="Y4" s="110"/>
      <c r="Z4" s="110"/>
      <c r="AA4" s="110"/>
      <c r="AB4" s="110"/>
    </row>
    <row r="5" spans="1:40" s="144" customFormat="1" ht="15" customHeight="1" x14ac:dyDescent="0.2">
      <c r="A5" s="113"/>
      <c r="B5" s="113"/>
      <c r="C5" s="113"/>
      <c r="D5" s="113"/>
      <c r="E5" s="113"/>
      <c r="F5" s="113"/>
      <c r="G5" s="113"/>
      <c r="I5" s="254"/>
      <c r="J5" s="347" t="s">
        <v>673</v>
      </c>
      <c r="N5" s="110"/>
      <c r="O5" s="110"/>
      <c r="P5" s="110"/>
      <c r="Q5" s="110"/>
      <c r="R5" s="110"/>
      <c r="S5" s="110"/>
      <c r="T5" s="110"/>
      <c r="U5" s="110"/>
      <c r="V5" s="110"/>
      <c r="W5" s="110"/>
      <c r="X5" s="110"/>
      <c r="Y5" s="110"/>
      <c r="Z5" s="110"/>
      <c r="AA5" s="110"/>
      <c r="AB5" s="110"/>
      <c r="AC5" s="110"/>
      <c r="AD5" s="110"/>
    </row>
    <row r="6" spans="1:40" s="144" customFormat="1" ht="15" customHeight="1" x14ac:dyDescent="0.2">
      <c r="A6" s="113"/>
      <c r="B6" s="528" t="s">
        <v>675</v>
      </c>
      <c r="C6" s="599"/>
      <c r="D6" s="600"/>
      <c r="E6" s="565"/>
      <c r="F6" s="113"/>
      <c r="G6" s="113"/>
      <c r="I6" s="255"/>
      <c r="J6" s="347" t="s">
        <v>674</v>
      </c>
      <c r="K6" s="253"/>
      <c r="L6" s="253"/>
      <c r="M6" s="507"/>
      <c r="N6" s="110"/>
      <c r="O6" s="110"/>
      <c r="P6" s="110"/>
      <c r="Q6" s="110"/>
      <c r="R6" s="110"/>
      <c r="S6" s="110"/>
      <c r="T6" s="110"/>
      <c r="U6" s="110"/>
      <c r="V6" s="110"/>
      <c r="W6" s="110"/>
      <c r="X6" s="110"/>
      <c r="Y6" s="110"/>
      <c r="Z6" s="110"/>
      <c r="AA6" s="110"/>
      <c r="AB6" s="110"/>
      <c r="AC6" s="110"/>
      <c r="AD6" s="110"/>
    </row>
    <row r="7" spans="1:40" s="144" customFormat="1" ht="15" customHeight="1" x14ac:dyDescent="0.2">
      <c r="A7" s="113"/>
      <c r="B7" s="113"/>
      <c r="C7" s="113"/>
      <c r="D7" s="113"/>
      <c r="E7" s="113"/>
      <c r="F7" s="113"/>
      <c r="G7" s="113"/>
      <c r="I7" s="256"/>
      <c r="J7" s="347" t="s">
        <v>763</v>
      </c>
      <c r="K7" s="508"/>
      <c r="L7" s="508"/>
      <c r="N7" s="110"/>
      <c r="O7" s="110"/>
      <c r="P7" s="110"/>
      <c r="Q7" s="110"/>
      <c r="R7" s="110"/>
      <c r="S7" s="110"/>
      <c r="T7" s="110"/>
      <c r="U7" s="110"/>
      <c r="V7" s="110"/>
      <c r="W7" s="110"/>
      <c r="X7" s="110"/>
      <c r="Y7" s="110"/>
      <c r="Z7" s="110"/>
      <c r="AA7" s="110"/>
      <c r="AB7" s="110"/>
      <c r="AC7" s="110"/>
      <c r="AD7" s="110"/>
    </row>
    <row r="8" spans="1:40" s="144" customFormat="1" ht="15" customHeight="1" x14ac:dyDescent="0.2">
      <c r="A8" s="113"/>
      <c r="B8" s="531" t="s">
        <v>676</v>
      </c>
      <c r="C8" s="601"/>
      <c r="D8" s="602"/>
      <c r="E8" s="567"/>
      <c r="F8" s="113"/>
      <c r="G8" s="113"/>
      <c r="I8" s="345" t="s">
        <v>759</v>
      </c>
      <c r="J8" s="604" t="s">
        <v>845</v>
      </c>
      <c r="K8" s="604"/>
      <c r="L8" s="604"/>
      <c r="M8" s="604"/>
      <c r="N8" s="110"/>
      <c r="O8" s="110"/>
      <c r="P8" s="110"/>
      <c r="Q8" s="110"/>
      <c r="R8" s="110"/>
      <c r="S8" s="110"/>
      <c r="T8" s="110"/>
      <c r="U8" s="110"/>
      <c r="V8" s="110"/>
      <c r="W8" s="110"/>
      <c r="X8" s="110"/>
      <c r="Y8" s="110"/>
      <c r="Z8" s="110"/>
      <c r="AA8" s="110"/>
      <c r="AB8" s="110"/>
      <c r="AC8" s="110"/>
      <c r="AD8" s="110"/>
    </row>
    <row r="9" spans="1:40" s="144" customFormat="1" ht="15" customHeight="1" x14ac:dyDescent="0.2">
      <c r="A9" s="113"/>
      <c r="B9" s="113"/>
      <c r="C9" s="564"/>
      <c r="D9" s="565"/>
      <c r="E9" s="565"/>
      <c r="F9" s="113"/>
      <c r="G9" s="113"/>
      <c r="I9" s="566"/>
      <c r="J9" s="604"/>
      <c r="K9" s="604"/>
      <c r="L9" s="604"/>
      <c r="M9" s="604"/>
      <c r="N9" s="110"/>
      <c r="O9" s="110"/>
      <c r="P9" s="110"/>
      <c r="Q9" s="110"/>
      <c r="R9" s="110"/>
      <c r="S9" s="110"/>
      <c r="T9" s="110"/>
      <c r="U9" s="110"/>
      <c r="V9" s="110"/>
      <c r="W9" s="110"/>
      <c r="X9" s="110"/>
      <c r="Y9" s="110"/>
      <c r="Z9" s="110"/>
      <c r="AA9" s="110"/>
      <c r="AB9" s="110"/>
      <c r="AC9" s="110"/>
      <c r="AD9" s="110"/>
    </row>
    <row r="10" spans="1:40" s="144" customFormat="1" ht="15" customHeight="1" x14ac:dyDescent="0.2">
      <c r="A10" s="113"/>
      <c r="B10" s="563" t="s">
        <v>961</v>
      </c>
      <c r="C10" s="618" t="s">
        <v>654</v>
      </c>
      <c r="D10" s="618"/>
      <c r="E10" s="567"/>
      <c r="F10" s="113"/>
      <c r="G10" s="113"/>
      <c r="I10" s="566"/>
      <c r="J10" s="604"/>
      <c r="K10" s="604"/>
      <c r="L10" s="604"/>
      <c r="M10" s="604"/>
      <c r="N10" s="110"/>
      <c r="O10" s="110"/>
      <c r="P10" s="110"/>
      <c r="Q10" s="110"/>
      <c r="R10" s="110"/>
      <c r="S10" s="110"/>
      <c r="T10" s="110"/>
      <c r="U10" s="110"/>
      <c r="V10" s="110"/>
      <c r="W10" s="110"/>
      <c r="X10" s="110"/>
      <c r="Y10" s="110"/>
      <c r="Z10" s="110"/>
      <c r="AA10" s="110"/>
      <c r="AB10" s="110"/>
      <c r="AC10" s="110"/>
      <c r="AD10" s="110"/>
    </row>
    <row r="11" spans="1:40" s="144" customFormat="1" ht="15" customHeight="1" x14ac:dyDescent="0.2">
      <c r="A11" s="113"/>
      <c r="B11" s="136"/>
      <c r="C11" s="136"/>
      <c r="D11" s="113"/>
      <c r="E11" s="113"/>
      <c r="F11" s="113"/>
      <c r="G11" s="114"/>
      <c r="J11" s="604"/>
      <c r="K11" s="604"/>
      <c r="L11" s="604"/>
      <c r="M11" s="604"/>
      <c r="AC11" s="146"/>
      <c r="AN11" s="147"/>
    </row>
    <row r="12" spans="1:40" s="144" customFormat="1" ht="24.95" customHeight="1" x14ac:dyDescent="0.2">
      <c r="A12" s="113"/>
      <c r="B12" s="517" t="s">
        <v>640</v>
      </c>
      <c r="C12" s="519" t="s">
        <v>641</v>
      </c>
      <c r="D12" s="521"/>
      <c r="E12" s="520" t="s">
        <v>795</v>
      </c>
      <c r="F12" s="518" t="s">
        <v>618</v>
      </c>
      <c r="G12" s="518" t="s">
        <v>388</v>
      </c>
      <c r="J12" s="604"/>
      <c r="K12" s="604"/>
      <c r="L12" s="604"/>
      <c r="M12" s="604"/>
      <c r="W12" s="150"/>
      <c r="X12" s="150"/>
      <c r="Y12" s="150"/>
      <c r="Z12" s="150"/>
      <c r="AA12" s="150"/>
      <c r="AB12" s="150"/>
      <c r="AC12" s="150"/>
      <c r="AN12" s="147"/>
    </row>
    <row r="13" spans="1:40" s="144" customFormat="1" ht="30" customHeight="1" x14ac:dyDescent="0.2">
      <c r="A13" s="113"/>
      <c r="B13" s="503" t="str">
        <f>'Activity database'!A4</f>
        <v>Office</v>
      </c>
      <c r="C13" s="614" t="str">
        <f>VLOOKUP(B13,'Activity database'!A:B,2,FALSE)</f>
        <v>Offices and workshop business (including those with a basic (category 1) laboratory area)</v>
      </c>
      <c r="D13" s="615"/>
      <c r="E13" s="120" t="str">
        <f>IF(O138=0,Q137,O138)</f>
        <v>Requires building information</v>
      </c>
      <c r="F13" s="116">
        <f>VLOOKUP(B13,'Activity database'!A:AN,4,FALSE)</f>
        <v>253</v>
      </c>
      <c r="G13" s="116">
        <f>VLOOKUP(B13,'Activity database'!A:AN,5,FALSE)</f>
        <v>10</v>
      </c>
      <c r="W13" s="151"/>
      <c r="X13" s="152"/>
      <c r="Y13" s="152"/>
      <c r="Z13" s="152"/>
      <c r="AA13" s="152"/>
      <c r="AB13" s="152"/>
      <c r="AC13" s="152"/>
      <c r="AN13" s="147"/>
    </row>
    <row r="14" spans="1:40" s="144" customFormat="1" ht="17.25" customHeight="1" x14ac:dyDescent="0.2">
      <c r="A14" s="113"/>
      <c r="B14" s="113"/>
      <c r="C14" s="113"/>
      <c r="D14" s="113"/>
      <c r="E14" s="113"/>
      <c r="F14" s="137"/>
      <c r="G14" s="114"/>
      <c r="X14" s="149"/>
      <c r="AC14" s="146"/>
      <c r="AN14" s="147"/>
    </row>
    <row r="15" spans="1:40" s="144" customFormat="1" ht="24.95" customHeight="1" x14ac:dyDescent="0.2">
      <c r="A15" s="113"/>
      <c r="B15" s="519" t="s">
        <v>645</v>
      </c>
      <c r="C15" s="519" t="s">
        <v>639</v>
      </c>
      <c r="D15" s="522"/>
      <c r="E15" s="521"/>
      <c r="F15" s="518" t="s">
        <v>502</v>
      </c>
      <c r="G15" s="518" t="s">
        <v>959</v>
      </c>
      <c r="H15" s="616" t="s">
        <v>767</v>
      </c>
      <c r="I15" s="617"/>
      <c r="J15" s="617"/>
      <c r="K15" s="617"/>
      <c r="L15" s="617"/>
      <c r="M15" s="617"/>
      <c r="N15" s="617"/>
      <c r="O15" s="617"/>
      <c r="X15" s="117"/>
    </row>
    <row r="16" spans="1:40" s="144" customFormat="1" ht="50.1" customHeight="1" x14ac:dyDescent="0.2">
      <c r="A16" s="346" t="str">
        <f>IF(F16=$Q$129,"&gt;",IF(AND(F16=$Q$130,G16=""),"&gt;",""))</f>
        <v>&gt;</v>
      </c>
      <c r="B16" s="503" t="str">
        <f>'Activity database'!A5</f>
        <v>Office - Office areas</v>
      </c>
      <c r="C16" s="612" t="str">
        <f>VLOOKUP(B16,'Activity database'!A:B,2,FALSE)</f>
        <v>Cellular or open plan office space, including staff kitchen where present/adjacent and reception areas. Exlcude meeting rooms, visitor waiting or circulation areas.</v>
      </c>
      <c r="D16" s="612"/>
      <c r="E16" s="612"/>
      <c r="F16" s="261" t="s">
        <v>654</v>
      </c>
      <c r="G16" s="262"/>
      <c r="H16" s="617"/>
      <c r="I16" s="617"/>
      <c r="J16" s="617"/>
      <c r="K16" s="617"/>
      <c r="L16" s="617"/>
      <c r="M16" s="617"/>
      <c r="N16" s="617"/>
      <c r="O16" s="617"/>
      <c r="X16" s="117"/>
    </row>
    <row r="17" spans="1:28" s="144" customFormat="1" ht="50.1" customHeight="1" x14ac:dyDescent="0.2">
      <c r="A17" s="346" t="str">
        <f>IF(F17=$Q$129,"&gt;",IF(AND(F17=$Q$130,G17=""),"&gt;",""))</f>
        <v>&gt;</v>
      </c>
      <c r="B17" s="503" t="str">
        <f>'Activity database'!A7</f>
        <v>Office - Small workshop / laboratory space</v>
      </c>
      <c r="C17" s="605" t="str">
        <f>VLOOKUP(B17,'Activity database'!A:B,2,FALSE)</f>
        <v>Small scale workshop or category 1 laboratory area</v>
      </c>
      <c r="D17" s="605"/>
      <c r="E17" s="605"/>
      <c r="F17" s="261" t="s">
        <v>654</v>
      </c>
      <c r="G17" s="262"/>
      <c r="X17" s="117"/>
    </row>
    <row r="18" spans="1:28" s="144" customFormat="1" ht="50.1" customHeight="1" x14ac:dyDescent="0.2">
      <c r="A18" s="346" t="str">
        <f>IF(F18=$Q$129,"&gt;",IF(AND(F18=$Q$130,G18=""),"&gt;",""))</f>
        <v>&gt;</v>
      </c>
      <c r="B18" s="503" t="str">
        <f>'Activity database'!A6</f>
        <v>Office - Staff canteen dining area</v>
      </c>
      <c r="C18" s="605" t="str">
        <f>VLOOKUP(B18,'Activity database'!A:B,2,FALSE)</f>
        <v>Seated dining areas that accompany a permanently staffed kitchen preparing food for consumption on the premises (excludes small un-staffed kitchen's used by office staff to re-heat food, make tea etc.)</v>
      </c>
      <c r="D18" s="605"/>
      <c r="E18" s="605"/>
      <c r="F18" s="261" t="s">
        <v>654</v>
      </c>
      <c r="G18" s="262"/>
      <c r="H18" s="606" t="s">
        <v>677</v>
      </c>
      <c r="I18" s="607"/>
      <c r="J18" s="607"/>
      <c r="K18" s="607"/>
      <c r="L18" s="607"/>
      <c r="M18" s="607"/>
      <c r="N18" s="607"/>
      <c r="O18" s="607"/>
      <c r="X18" s="117"/>
      <c r="Y18" s="153"/>
      <c r="Z18" s="153"/>
      <c r="AA18" s="153"/>
      <c r="AB18" s="153"/>
    </row>
    <row r="19" spans="1:28" s="144" customFormat="1" ht="50.1" customHeight="1" x14ac:dyDescent="0.2">
      <c r="A19" s="346" t="str">
        <f>IF(F19=$Q$129,"&gt;","")</f>
        <v>&gt;</v>
      </c>
      <c r="B19" s="503" t="str">
        <f>'Activity database'!A8</f>
        <v>Office - Fitness suite/gym (with changing facility and showers)</v>
      </c>
      <c r="C19" s="605" t="str">
        <f>VLOOKUP(B19,'Activity database'!A:B,2,FALSE)</f>
        <v>A fitness suite or gym that is part of the office building/development  and used by the building's employees only. The gym will have its own changing facility with showers.</v>
      </c>
      <c r="D19" s="605"/>
      <c r="E19" s="605"/>
      <c r="F19" s="261" t="s">
        <v>654</v>
      </c>
      <c r="G19" s="258"/>
      <c r="H19" s="608" t="str">
        <f>IF(F19=Q130,"Note: Net floor area is not required for this activity. Its inclusion (or otherwise) simply determines the usage/person/day factor and therefore resulting water consumption from the showers.","")</f>
        <v/>
      </c>
      <c r="I19" s="609"/>
      <c r="J19" s="609"/>
      <c r="K19" s="609"/>
      <c r="L19" s="609"/>
      <c r="M19" s="609"/>
      <c r="N19" s="609"/>
      <c r="O19" s="609"/>
      <c r="X19" s="149"/>
      <c r="Y19" s="154"/>
      <c r="Z19" s="154"/>
      <c r="AA19" s="154"/>
      <c r="AB19" s="154"/>
    </row>
    <row r="20" spans="1:28" s="144" customFormat="1" ht="24.95" customHeight="1" x14ac:dyDescent="0.2">
      <c r="A20" s="113"/>
      <c r="B20" s="113"/>
      <c r="C20" s="113"/>
      <c r="D20" s="113"/>
      <c r="E20" s="113"/>
      <c r="F20" s="113"/>
      <c r="G20" s="114"/>
      <c r="X20" s="155"/>
      <c r="Y20" s="155"/>
      <c r="Z20" s="155"/>
      <c r="AA20" s="155"/>
      <c r="AB20" s="155"/>
    </row>
    <row r="21" spans="1:28" s="144" customFormat="1" ht="32.1" customHeight="1" x14ac:dyDescent="0.2">
      <c r="A21" s="113"/>
      <c r="B21" s="516" t="s">
        <v>698</v>
      </c>
      <c r="C21" s="516"/>
      <c r="D21" s="516"/>
      <c r="E21" s="516"/>
      <c r="F21" s="516"/>
      <c r="G21" s="516"/>
    </row>
    <row r="22" spans="1:28" s="144" customFormat="1" ht="24.95" customHeight="1" x14ac:dyDescent="0.2">
      <c r="A22" s="113"/>
      <c r="B22" s="113"/>
      <c r="C22" s="113"/>
      <c r="D22" s="113"/>
      <c r="E22" s="113"/>
      <c r="F22" s="113"/>
      <c r="G22" s="114"/>
      <c r="X22" s="117"/>
      <c r="Y22" s="117"/>
      <c r="Z22" s="117"/>
      <c r="AA22" s="117"/>
      <c r="AB22" s="117"/>
    </row>
    <row r="23" spans="1:28" s="144" customFormat="1" ht="24.95" customHeight="1" x14ac:dyDescent="0.2">
      <c r="A23" s="113"/>
      <c r="B23" s="519" t="s">
        <v>536</v>
      </c>
      <c r="C23" s="518" t="s">
        <v>524</v>
      </c>
      <c r="D23" s="518" t="s">
        <v>621</v>
      </c>
      <c r="E23" s="518" t="s">
        <v>378</v>
      </c>
      <c r="F23" s="518" t="s">
        <v>284</v>
      </c>
      <c r="G23" s="518" t="s">
        <v>396</v>
      </c>
      <c r="I23" s="148"/>
      <c r="J23" s="148"/>
      <c r="K23" s="148"/>
      <c r="L23" s="148"/>
      <c r="M23" s="148"/>
      <c r="N23" s="331" t="str">
        <f>B23</f>
        <v>WC component - all activity areas</v>
      </c>
      <c r="O23" s="328" t="s">
        <v>81</v>
      </c>
      <c r="P23" s="328" t="s">
        <v>378</v>
      </c>
      <c r="Q23" s="328" t="s">
        <v>284</v>
      </c>
      <c r="R23" s="328" t="s">
        <v>82</v>
      </c>
    </row>
    <row r="24" spans="1:28" s="144" customFormat="1" ht="15" customHeight="1" x14ac:dyDescent="0.2">
      <c r="A24" s="346" t="str">
        <f>IF(B24=$Q$129,"&gt;","")</f>
        <v>&gt;</v>
      </c>
      <c r="B24" s="263" t="s">
        <v>654</v>
      </c>
      <c r="C24" s="120" t="s">
        <v>525</v>
      </c>
      <c r="D24" s="264"/>
      <c r="E24" s="121" t="str">
        <f>IF(B24=R129,"",IF(B24=R130,VLOOKUP($B$13,'Activity database'!$A:$AN,9,FALSE),IF(B24=R131,VLOOKUP($B$13,'Activity database'!$A:$BY,10,FALSE))))</f>
        <v/>
      </c>
      <c r="F24" s="121">
        <f>VLOOKUP($B$13,'Activity database'!$A:$BY,27,FALSE)</f>
        <v>1</v>
      </c>
      <c r="G24" s="119" t="str">
        <f>IF(ISERROR((D24*E24*F24*(VLOOKUP(B13,'Activity database'!A:BA,7,FALSE)))),Q137,(D24*E24*F24*(VLOOKUP(B13,'Activity database'!A:BA,7,FALSE))))</f>
        <v>Requires building information</v>
      </c>
      <c r="H24" s="347" t="str">
        <f>IF(B24=R129,"Note: please seelct the relevant option for WC component opposite","")</f>
        <v>Note: please seelct the relevant option for WC component opposite</v>
      </c>
      <c r="I24" s="148"/>
      <c r="J24" s="148"/>
      <c r="K24" s="148"/>
      <c r="L24" s="148"/>
      <c r="M24" s="148"/>
      <c r="N24" s="205" t="str">
        <f>B24</f>
        <v>Please select</v>
      </c>
      <c r="O24" s="121">
        <f>IF($D$24="",0,VLOOKUP($N$24,'Activity database'!$AT:$BA,2,FALSE))</f>
        <v>0</v>
      </c>
      <c r="P24" s="121" t="str">
        <f>E24</f>
        <v/>
      </c>
      <c r="Q24" s="121">
        <f>F24</f>
        <v>1</v>
      </c>
      <c r="R24" s="119">
        <f>IF($D$24="",0,O24*$P$24*$Q$24*(VLOOKUP($B$13,'Activity database'!$A:$BA,7,FALSE)))</f>
        <v>0</v>
      </c>
    </row>
    <row r="25" spans="1:28" s="144" customFormat="1" ht="15" customHeight="1" x14ac:dyDescent="0.2">
      <c r="A25" s="113"/>
      <c r="B25" s="128" t="str">
        <f>'Activity database'!K3</f>
        <v>WC - female</v>
      </c>
      <c r="C25" s="120" t="s">
        <v>525</v>
      </c>
      <c r="D25" s="264"/>
      <c r="E25" s="121">
        <f>VLOOKUP($B$13,'Activity database'!$A:$BY,11,FALSE)</f>
        <v>4</v>
      </c>
      <c r="F25" s="121">
        <f>VLOOKUP($B$13,'Activity database'!$A:$BY,27,FALSE)</f>
        <v>1</v>
      </c>
      <c r="G25" s="119">
        <f>D25*E25*F25*(VLOOKUP(B13,'Activity database'!A:BA,8,FALSE))</f>
        <v>0</v>
      </c>
      <c r="H25" s="603" t="s">
        <v>678</v>
      </c>
      <c r="I25" s="603"/>
      <c r="J25" s="603"/>
      <c r="K25" s="603"/>
      <c r="L25" s="603"/>
      <c r="M25" s="603"/>
      <c r="N25" s="283" t="str">
        <f>B25</f>
        <v>WC - female</v>
      </c>
      <c r="O25" s="121">
        <f>IF($D$25="",0,VLOOKUP($N$25,'Activity database'!$AT:$BA,2,FALSE))</f>
        <v>0</v>
      </c>
      <c r="P25" s="121">
        <f>E25</f>
        <v>4</v>
      </c>
      <c r="Q25" s="121">
        <f>F25</f>
        <v>1</v>
      </c>
      <c r="R25" s="119">
        <f>IF($D$25="",0,O25*$P$25*$Q$25*(VLOOKUP($B$13,'Activity database'!$A:$BA,8,FALSE)))</f>
        <v>0</v>
      </c>
    </row>
    <row r="26" spans="1:28" s="144" customFormat="1" ht="12.75" customHeight="1" x14ac:dyDescent="0.2">
      <c r="A26" s="113"/>
      <c r="B26" s="113"/>
      <c r="C26" s="113"/>
      <c r="D26" s="113"/>
      <c r="E26" s="113"/>
      <c r="F26" s="113"/>
      <c r="G26" s="114"/>
      <c r="H26" s="603"/>
      <c r="I26" s="603"/>
      <c r="J26" s="603"/>
      <c r="K26" s="603"/>
      <c r="L26" s="603"/>
      <c r="M26" s="603"/>
      <c r="N26" s="148"/>
      <c r="O26" s="148"/>
      <c r="P26" s="148"/>
      <c r="Q26" s="148"/>
      <c r="R26" s="148"/>
    </row>
    <row r="27" spans="1:28" s="144" customFormat="1" ht="24.95" customHeight="1" x14ac:dyDescent="0.2">
      <c r="A27" s="113"/>
      <c r="B27" s="519" t="s">
        <v>90</v>
      </c>
      <c r="C27" s="518" t="s">
        <v>524</v>
      </c>
      <c r="D27" s="518" t="s">
        <v>621</v>
      </c>
      <c r="E27" s="518" t="s">
        <v>615</v>
      </c>
      <c r="F27" s="518" t="s">
        <v>87</v>
      </c>
      <c r="G27" s="518" t="s">
        <v>396</v>
      </c>
      <c r="H27" s="603"/>
      <c r="I27" s="603"/>
      <c r="J27" s="603"/>
      <c r="K27" s="603"/>
      <c r="L27" s="603"/>
      <c r="M27" s="603"/>
      <c r="N27" s="324" t="s">
        <v>90</v>
      </c>
      <c r="O27" s="138" t="s">
        <v>81</v>
      </c>
      <c r="P27" s="138" t="s">
        <v>84</v>
      </c>
      <c r="Q27" s="138" t="s">
        <v>83</v>
      </c>
      <c r="R27" s="138" t="s">
        <v>82</v>
      </c>
    </row>
    <row r="28" spans="1:28" s="144" customFormat="1" ht="15" customHeight="1" x14ac:dyDescent="0.2">
      <c r="A28" s="346" t="str">
        <f>IF(AND(D28&gt;0,OR(E28="",F28="")),"&gt;","")</f>
        <v/>
      </c>
      <c r="B28" s="610" t="s">
        <v>752</v>
      </c>
      <c r="C28" s="120" t="s">
        <v>614</v>
      </c>
      <c r="D28" s="264"/>
      <c r="E28" s="265"/>
      <c r="F28" s="265"/>
      <c r="G28" s="119">
        <f>IF(OR(D28=0,E28=0,F28=0,B24=R131),0,(D28*E28*F28*G13)/O138)</f>
        <v>0</v>
      </c>
      <c r="H28" s="158"/>
      <c r="I28" s="159"/>
      <c r="J28" s="159"/>
      <c r="K28" s="159"/>
      <c r="L28" s="159"/>
      <c r="M28" s="149"/>
      <c r="N28" s="342" t="str">
        <f>B28</f>
        <v>Automatically operated flushing cistern</v>
      </c>
      <c r="O28" s="341">
        <f>IF($D$28=0,0,IF($D$29=1,'Activity database'!$AU$11,'Activity database'!$AU$10))</f>
        <v>0</v>
      </c>
      <c r="P28" s="116">
        <f>O28*$G$13</f>
        <v>0</v>
      </c>
      <c r="Q28" s="121">
        <f>P28*$D$29</f>
        <v>0</v>
      </c>
      <c r="R28" s="121" t="e">
        <f>IF(B24=R131,0,$Q$28/O138)</f>
        <v>#DIV/0!</v>
      </c>
    </row>
    <row r="29" spans="1:28" s="144" customFormat="1" ht="15" customHeight="1" x14ac:dyDescent="0.2">
      <c r="A29" s="346" t="str">
        <f>IF(AND(D28&gt;0,D29=""),"&gt;","")</f>
        <v/>
      </c>
      <c r="B29" s="611"/>
      <c r="C29" s="120" t="s">
        <v>88</v>
      </c>
      <c r="D29" s="264"/>
      <c r="E29" s="117"/>
      <c r="F29" s="117"/>
      <c r="G29" s="117"/>
      <c r="H29" s="161"/>
      <c r="I29" s="148"/>
      <c r="J29" s="148"/>
      <c r="K29" s="148"/>
      <c r="L29" s="148"/>
      <c r="M29" s="160"/>
      <c r="N29" s="117"/>
      <c r="O29" s="117"/>
      <c r="P29" s="117"/>
      <c r="Q29" s="117"/>
      <c r="R29" s="117"/>
    </row>
    <row r="30" spans="1:28" s="144" customFormat="1" ht="24.95" customHeight="1" x14ac:dyDescent="0.2">
      <c r="A30" s="113"/>
      <c r="B30" s="519"/>
      <c r="C30" s="518" t="s">
        <v>524</v>
      </c>
      <c r="D30" s="518" t="s">
        <v>621</v>
      </c>
      <c r="E30" s="518" t="s">
        <v>378</v>
      </c>
      <c r="F30" s="518" t="s">
        <v>284</v>
      </c>
      <c r="G30" s="518" t="s">
        <v>396</v>
      </c>
      <c r="H30" s="158"/>
      <c r="I30" s="148"/>
      <c r="J30" s="148"/>
      <c r="K30" s="148"/>
      <c r="L30" s="148"/>
      <c r="M30" s="148"/>
      <c r="N30" s="324" t="s">
        <v>90</v>
      </c>
      <c r="O30" s="138" t="s">
        <v>81</v>
      </c>
      <c r="P30" s="138" t="s">
        <v>378</v>
      </c>
      <c r="Q30" s="138" t="s">
        <v>284</v>
      </c>
      <c r="R30" s="138" t="s">
        <v>82</v>
      </c>
    </row>
    <row r="31" spans="1:28" s="144" customFormat="1" ht="15" customHeight="1" x14ac:dyDescent="0.2">
      <c r="A31" s="113"/>
      <c r="B31" s="610" t="s">
        <v>751</v>
      </c>
      <c r="C31" s="120" t="s">
        <v>539</v>
      </c>
      <c r="D31" s="265"/>
      <c r="E31" s="121">
        <f>VLOOKUP($B$13,'Activity database'!$A:$AN,12,FALSE)</f>
        <v>3</v>
      </c>
      <c r="F31" s="121">
        <f>VLOOKUP($B$13,'Activity database'!$A:$AN,28,FALSE)</f>
        <v>1</v>
      </c>
      <c r="G31" s="119">
        <f>IF(OR(D31=0,E31=0,F31=0,B24=R131),0,(D31*E31*F31)*(VLOOKUP(B13,'Activity database'!A:BA,7,FALSE))*(D32/(D29+D32+D35)))</f>
        <v>0</v>
      </c>
      <c r="H31" s="603" t="str">
        <f>IF(B24=R131,"",N142)</f>
        <v>Note: This consumption total accounts for the ratio of male users for this building type i.e. the ratio of building users who will operate the flush. Where more than one type of urinal flushing control is specified in the building, this consumption figure is adjusted by a ratio of use. the ratio is determined according to the proportion of urinals bowls in the building operated using this type of control.</v>
      </c>
      <c r="I31" s="603"/>
      <c r="J31" s="603"/>
      <c r="K31" s="603"/>
      <c r="L31" s="603"/>
      <c r="M31" s="603"/>
      <c r="N31" s="340" t="str">
        <f>B31</f>
        <v>Manual/automatic operated pressure flushing valve (all activity areas)</v>
      </c>
      <c r="O31" s="121">
        <f>'Activity database'!$AU$12</f>
        <v>1.5</v>
      </c>
      <c r="P31" s="121">
        <f>E31</f>
        <v>3</v>
      </c>
      <c r="Q31" s="121">
        <f>F31</f>
        <v>1</v>
      </c>
      <c r="R31" s="121" t="e">
        <f>IF(B24=R131,0,IF($D$31="",0,$O$31*$P$31*$Q$31*(VLOOKUP(B13,'Activity database'!$A:$BA,7,FALSE)))*(D32/(D29+D32+D35)))</f>
        <v>#DIV/0!</v>
      </c>
    </row>
    <row r="32" spans="1:28" s="144" customFormat="1" ht="15" customHeight="1" x14ac:dyDescent="0.2">
      <c r="A32" s="346" t="str">
        <f>IF(AND(D31&gt;0,D32=""),"&gt;","")</f>
        <v/>
      </c>
      <c r="B32" s="612"/>
      <c r="C32" s="122" t="s">
        <v>88</v>
      </c>
      <c r="D32" s="264"/>
      <c r="E32" s="117"/>
      <c r="F32" s="117"/>
      <c r="G32" s="117"/>
      <c r="H32" s="603"/>
      <c r="I32" s="603"/>
      <c r="J32" s="603"/>
      <c r="K32" s="603"/>
      <c r="L32" s="603"/>
      <c r="M32" s="603"/>
      <c r="N32" s="140"/>
      <c r="O32" s="333"/>
      <c r="P32" s="117"/>
      <c r="Q32" s="117"/>
      <c r="R32" s="117"/>
    </row>
    <row r="33" spans="1:18" s="144" customFormat="1" ht="24.95" customHeight="1" x14ac:dyDescent="0.2">
      <c r="A33" s="113"/>
      <c r="B33" s="519"/>
      <c r="C33" s="518" t="s">
        <v>524</v>
      </c>
      <c r="D33" s="518" t="s">
        <v>621</v>
      </c>
      <c r="E33" s="518" t="s">
        <v>378</v>
      </c>
      <c r="F33" s="518" t="s">
        <v>284</v>
      </c>
      <c r="G33" s="518" t="s">
        <v>396</v>
      </c>
      <c r="H33" s="603"/>
      <c r="I33" s="603"/>
      <c r="J33" s="603"/>
      <c r="K33" s="603"/>
      <c r="L33" s="603"/>
      <c r="M33" s="603"/>
      <c r="N33" s="324" t="s">
        <v>90</v>
      </c>
      <c r="O33" s="138" t="s">
        <v>81</v>
      </c>
      <c r="P33" s="138" t="s">
        <v>378</v>
      </c>
      <c r="Q33" s="138" t="s">
        <v>284</v>
      </c>
      <c r="R33" s="138" t="s">
        <v>82</v>
      </c>
    </row>
    <row r="34" spans="1:18" s="144" customFormat="1" ht="15" customHeight="1" x14ac:dyDescent="0.2">
      <c r="A34" s="346" t="str">
        <f>IF(B24=R131,"",IF(D34=$Q$129,"&gt;",""))</f>
        <v>&gt;</v>
      </c>
      <c r="B34" s="610" t="s">
        <v>89</v>
      </c>
      <c r="C34" s="120" t="s">
        <v>539</v>
      </c>
      <c r="D34" s="261" t="s">
        <v>654</v>
      </c>
      <c r="E34" s="121">
        <f>VLOOKUP($B$13,'Activity database'!$A:$AN,12,FALSE)</f>
        <v>3</v>
      </c>
      <c r="F34" s="121">
        <f>VLOOKUP($B$13,'Activity database'!$A:$AN,28,FALSE)</f>
        <v>1</v>
      </c>
      <c r="G34" s="119">
        <v>0</v>
      </c>
      <c r="H34" s="604" t="str">
        <f>IF(OR(B24=R131,B24=R129,D34=P131),"",IF(AND(D34=P130,D35&gt;0),N143,IF(OR(D34=R129,D34=P130),N144)))</f>
        <v/>
      </c>
      <c r="I34" s="604"/>
      <c r="J34" s="604"/>
      <c r="K34" s="604"/>
      <c r="L34" s="604"/>
      <c r="M34" s="604"/>
      <c r="N34" s="340" t="str">
        <f>B34</f>
        <v>Waterless urinals (all activity areas)</v>
      </c>
      <c r="O34" s="344">
        <f>'Activity database'!$AU$12</f>
        <v>1.5</v>
      </c>
      <c r="P34" s="121">
        <f>E34</f>
        <v>3</v>
      </c>
      <c r="Q34" s="121">
        <f>F34</f>
        <v>1</v>
      </c>
      <c r="R34" s="121" t="e">
        <f>IF(B24=R131,0,IF(OR($D$34="",$D$34=P129,$D$34=P131),0,$O$34*$P$34*$Q$34*(VLOOKUP(B13,'Activity database'!A:BA,7,FALSE)))*(D35/(D28+D32+D35)))</f>
        <v>#DIV/0!</v>
      </c>
    </row>
    <row r="35" spans="1:18" s="144" customFormat="1" ht="15" customHeight="1" x14ac:dyDescent="0.2">
      <c r="A35" s="346" t="str">
        <f>IF(AND(D34=P130,D35=""),"&gt;","")</f>
        <v/>
      </c>
      <c r="B35" s="613"/>
      <c r="C35" s="122" t="s">
        <v>88</v>
      </c>
      <c r="D35" s="264"/>
      <c r="E35" s="117"/>
      <c r="F35" s="117"/>
      <c r="G35" s="117"/>
      <c r="H35" s="604"/>
      <c r="I35" s="604"/>
      <c r="J35" s="604"/>
      <c r="K35" s="604"/>
      <c r="L35" s="604"/>
      <c r="M35" s="604"/>
      <c r="N35" s="148"/>
      <c r="O35" s="148"/>
      <c r="P35" s="148"/>
      <c r="Q35" s="148"/>
      <c r="R35" s="148"/>
    </row>
    <row r="36" spans="1:18" s="144" customFormat="1" ht="18" customHeight="1" x14ac:dyDescent="0.2">
      <c r="A36" s="113"/>
      <c r="B36" s="113"/>
      <c r="C36" s="113"/>
      <c r="D36" s="113"/>
      <c r="E36" s="113"/>
      <c r="F36" s="113"/>
      <c r="G36" s="114"/>
      <c r="H36" s="604"/>
      <c r="I36" s="604"/>
      <c r="J36" s="604"/>
      <c r="K36" s="604"/>
      <c r="L36" s="604"/>
      <c r="M36" s="604"/>
      <c r="N36" s="148"/>
      <c r="O36" s="148"/>
      <c r="P36" s="148"/>
      <c r="Q36" s="148"/>
      <c r="R36" s="148"/>
    </row>
    <row r="37" spans="1:18" s="144" customFormat="1" ht="24.95" customHeight="1" x14ac:dyDescent="0.2">
      <c r="A37" s="113"/>
      <c r="B37" s="113"/>
      <c r="C37" s="523" t="s">
        <v>524</v>
      </c>
      <c r="D37" s="523" t="s">
        <v>621</v>
      </c>
      <c r="E37" s="523" t="s">
        <v>378</v>
      </c>
      <c r="F37" s="523" t="s">
        <v>284</v>
      </c>
      <c r="G37" s="523" t="s">
        <v>396</v>
      </c>
      <c r="H37" s="604"/>
      <c r="I37" s="604"/>
      <c r="J37" s="604"/>
      <c r="K37" s="604"/>
      <c r="L37" s="604"/>
      <c r="M37" s="604"/>
      <c r="N37" s="148"/>
    </row>
    <row r="38" spans="1:18" s="144" customFormat="1" ht="24.95" customHeight="1" x14ac:dyDescent="0.2">
      <c r="A38" s="113"/>
      <c r="B38" s="524" t="s">
        <v>537</v>
      </c>
      <c r="C38" s="525"/>
      <c r="D38" s="525"/>
      <c r="E38" s="525"/>
      <c r="F38" s="525"/>
      <c r="G38" s="526"/>
      <c r="I38" s="117"/>
      <c r="J38" s="148"/>
      <c r="K38" s="148"/>
      <c r="L38" s="148"/>
      <c r="M38" s="148"/>
      <c r="N38" s="323" t="str">
        <f>B38</f>
        <v xml:space="preserve">Taps  components (personal hygiene) - all activity areas </v>
      </c>
      <c r="O38" s="138" t="s">
        <v>517</v>
      </c>
      <c r="P38" s="138" t="s">
        <v>378</v>
      </c>
      <c r="Q38" s="138" t="s">
        <v>284</v>
      </c>
      <c r="R38" s="138" t="s">
        <v>82</v>
      </c>
    </row>
    <row r="39" spans="1:18" s="144" customFormat="1" ht="15" customHeight="1" x14ac:dyDescent="0.2">
      <c r="A39" s="113"/>
      <c r="B39" s="130" t="str">
        <f>'Activity database'!M3</f>
        <v>Wash hand basin taps</v>
      </c>
      <c r="C39" s="121" t="s">
        <v>526</v>
      </c>
      <c r="D39" s="264"/>
      <c r="E39" s="121">
        <f>VLOOKUP($B$13,'Activity database'!$A:$AN,13,FALSE)</f>
        <v>4</v>
      </c>
      <c r="F39" s="121">
        <f>VLOOKUP($B$13,'Activity database'!$A:$AN,29,FALSE)</f>
        <v>0.25</v>
      </c>
      <c r="G39" s="119">
        <f>(D39*E39*F39)*VLOOKUP(B13,'Activity database'!A:AR,44,FALSE)</f>
        <v>0</v>
      </c>
      <c r="I39" s="148"/>
      <c r="J39" s="148"/>
      <c r="K39" s="148"/>
      <c r="L39" s="148"/>
      <c r="M39" s="148"/>
      <c r="N39" s="329" t="str">
        <f t="shared" ref="N39:N44" si="0">B39</f>
        <v>Wash hand basin taps</v>
      </c>
      <c r="O39" s="330">
        <f>IF($D$39="",0,VLOOKUP($N$39,'Activity database'!$AT:$BA,2,FALSE))</f>
        <v>0</v>
      </c>
      <c r="P39" s="330">
        <f t="shared" ref="P39:Q43" si="1">E39</f>
        <v>4</v>
      </c>
      <c r="Q39" s="330">
        <f t="shared" si="1"/>
        <v>0.25</v>
      </c>
      <c r="R39" s="203">
        <f>IF($D$39="",0,(O39*$P$39*$Q$39)*(VLOOKUP($B$13,'Activity database'!$A:$AR,44,FALSE)))</f>
        <v>0</v>
      </c>
    </row>
    <row r="40" spans="1:18" s="144" customFormat="1" ht="15" customHeight="1" x14ac:dyDescent="0.2">
      <c r="A40" s="113"/>
      <c r="B40" s="130" t="str">
        <f>'Activity database'!N3</f>
        <v>Shower use</v>
      </c>
      <c r="C40" s="121" t="s">
        <v>526</v>
      </c>
      <c r="D40" s="264"/>
      <c r="E40" s="131">
        <f>IF(F19="no",VLOOKUP($B$13,'Activity database'!$A:$AN,14,FALSE),VLOOKUP(B19,'Activity database'!A:BO,14,FALSE))</f>
        <v>0.154</v>
      </c>
      <c r="F40" s="121">
        <f>VLOOKUP($B$13,'Activity database'!$A:$AN,30,FALSE)</f>
        <v>5.6</v>
      </c>
      <c r="G40" s="119">
        <f>D40*E40*F40</f>
        <v>0</v>
      </c>
      <c r="I40" s="148"/>
      <c r="J40" s="148"/>
      <c r="K40" s="148"/>
      <c r="L40" s="148"/>
      <c r="M40" s="148"/>
      <c r="N40" s="123" t="str">
        <f t="shared" si="0"/>
        <v>Shower use</v>
      </c>
      <c r="O40" s="124">
        <f>IF($D$40="",0,'Activity database'!AU8)</f>
        <v>0</v>
      </c>
      <c r="P40" s="125">
        <f t="shared" si="1"/>
        <v>0.154</v>
      </c>
      <c r="Q40" s="125">
        <f t="shared" si="1"/>
        <v>5.6</v>
      </c>
      <c r="R40" s="121">
        <f>IF($D$40="",0,O40*$P$40*$Q$40)</f>
        <v>0</v>
      </c>
    </row>
    <row r="41" spans="1:18" s="144" customFormat="1" ht="15" hidden="1" customHeight="1" x14ac:dyDescent="0.2">
      <c r="A41" s="289" t="s">
        <v>735</v>
      </c>
      <c r="B41" s="123" t="str">
        <f>'Activity database'!O3</f>
        <v>Shower use (bath present)</v>
      </c>
      <c r="C41" s="124" t="s">
        <v>526</v>
      </c>
      <c r="D41" s="259"/>
      <c r="E41" s="126" t="str">
        <f>VLOOKUP($B$13,'Activity database'!$A:$AN,15,FALSE)</f>
        <v>N/A</v>
      </c>
      <c r="F41" s="126">
        <f>VLOOKUP($B$13,'Activity database'!$A:$AN,31,FALSE)</f>
        <v>4.37</v>
      </c>
      <c r="G41" s="127">
        <f>IF(E41="N/A",0,D41*E41*F41)</f>
        <v>0</v>
      </c>
      <c r="H41" s="290" t="s">
        <v>735</v>
      </c>
      <c r="I41" s="148"/>
      <c r="J41" s="148"/>
      <c r="K41" s="148"/>
      <c r="L41" s="148"/>
      <c r="M41" s="148"/>
      <c r="N41" s="123" t="str">
        <f t="shared" si="0"/>
        <v>Shower use (bath present)</v>
      </c>
      <c r="O41" s="124">
        <f>IF($D$41="",0,'Activity database'!AU8)</f>
        <v>0</v>
      </c>
      <c r="P41" s="125" t="str">
        <f t="shared" si="1"/>
        <v>N/A</v>
      </c>
      <c r="Q41" s="125">
        <f t="shared" si="1"/>
        <v>4.37</v>
      </c>
      <c r="R41" s="121">
        <f>IF($D$41="",0,O41*$P$41*$Q$41)</f>
        <v>0</v>
      </c>
    </row>
    <row r="42" spans="1:18" s="144" customFormat="1" ht="15" hidden="1" customHeight="1" x14ac:dyDescent="0.2">
      <c r="A42" s="289" t="s">
        <v>735</v>
      </c>
      <c r="B42" s="123" t="str">
        <f>'Activity database'!P3</f>
        <v xml:space="preserve">Bath use (no shower present) </v>
      </c>
      <c r="C42" s="124" t="s">
        <v>527</v>
      </c>
      <c r="D42" s="259"/>
      <c r="E42" s="126" t="str">
        <f>VLOOKUP($B$13,'Activity database'!$A:$AN,16,FALSE)</f>
        <v>N/A</v>
      </c>
      <c r="F42" s="126">
        <f>VLOOKUP($B$13,'Activity database'!$A:$AN,32,FALSE)</f>
        <v>1</v>
      </c>
      <c r="G42" s="127">
        <f>IF(E42="n/a",0,((D42*E42*F42)*'Activity database'!AQ4))</f>
        <v>0</v>
      </c>
      <c r="H42" s="290" t="s">
        <v>735</v>
      </c>
      <c r="I42" s="148"/>
      <c r="J42" s="148"/>
      <c r="K42" s="148"/>
      <c r="L42" s="148"/>
      <c r="M42" s="148"/>
      <c r="N42" s="123" t="str">
        <f t="shared" si="0"/>
        <v xml:space="preserve">Bath use (no shower present) </v>
      </c>
      <c r="O42" s="124">
        <f>IF($D$42="",0,'Activity database'!AU9)</f>
        <v>0</v>
      </c>
      <c r="P42" s="124" t="str">
        <f t="shared" si="1"/>
        <v>N/A</v>
      </c>
      <c r="Q42" s="124">
        <f t="shared" si="1"/>
        <v>1</v>
      </c>
      <c r="R42" s="121">
        <f>IF($D$42="",0,((O42*$P$42*$Q$42)*(VLOOKUP($B$13,'Activity database'!$A:$AR,43,FALSE))))</f>
        <v>0</v>
      </c>
    </row>
    <row r="43" spans="1:18" s="144" customFormat="1" ht="15" hidden="1" customHeight="1" x14ac:dyDescent="0.2">
      <c r="A43" s="289" t="s">
        <v>735</v>
      </c>
      <c r="B43" s="123" t="str">
        <f>'Activity database'!Q3</f>
        <v>Bath use (shower present)</v>
      </c>
      <c r="C43" s="124" t="s">
        <v>527</v>
      </c>
      <c r="D43" s="259"/>
      <c r="E43" s="126" t="str">
        <f>VLOOKUP($B$13,'Activity database'!$A:$AN,17,FALSE)</f>
        <v>N/A</v>
      </c>
      <c r="F43" s="126">
        <f>VLOOKUP($B$13,'Activity database'!$A:$AN,33,FALSE)</f>
        <v>1</v>
      </c>
      <c r="G43" s="127">
        <f>IF(E43="n/a",0,((D43*E43*F43)*'Activity database'!AQ4))</f>
        <v>0</v>
      </c>
      <c r="H43" s="290" t="s">
        <v>735</v>
      </c>
      <c r="I43" s="148"/>
      <c r="J43" s="148"/>
      <c r="K43" s="148"/>
      <c r="L43" s="148"/>
      <c r="M43" s="148"/>
      <c r="N43" s="123" t="str">
        <f t="shared" si="0"/>
        <v>Bath use (shower present)</v>
      </c>
      <c r="O43" s="124">
        <f>IF($D$43="",0,'Activity database'!AU9)</f>
        <v>0</v>
      </c>
      <c r="P43" s="124" t="str">
        <f t="shared" si="1"/>
        <v>N/A</v>
      </c>
      <c r="Q43" s="124">
        <f t="shared" si="1"/>
        <v>1</v>
      </c>
      <c r="R43" s="121">
        <f>IF($D$43="",0,((O43*$P$43*$Q$43)*(VLOOKUP($B$13,'Activity database'!$A:$AR,43,FALSE))))</f>
        <v>0</v>
      </c>
    </row>
    <row r="44" spans="1:18" s="144" customFormat="1" ht="15" customHeight="1" x14ac:dyDescent="0.2">
      <c r="A44" s="113"/>
      <c r="B44" s="198" t="str">
        <f>'Activity database'!X3</f>
        <v>Fixed use - vessel filling</v>
      </c>
      <c r="C44" s="199" t="s">
        <v>386</v>
      </c>
      <c r="D44" s="199" t="s">
        <v>521</v>
      </c>
      <c r="E44" s="200" t="s">
        <v>521</v>
      </c>
      <c r="F44" s="199" t="s">
        <v>521</v>
      </c>
      <c r="G44" s="201">
        <f>IF(F19="yes",VLOOKUP(B13,'Activity database'!A:BA,24,FALSE)+VLOOKUP(B19,'Activity database'!A:BA,24,FALSE),VLOOKUP(B13,'Activity database'!A:BA,24,FALSE))</f>
        <v>1.58</v>
      </c>
      <c r="H44" s="355"/>
      <c r="I44" s="504"/>
      <c r="J44" s="504"/>
      <c r="K44" s="504"/>
      <c r="L44" s="504"/>
      <c r="M44" s="504"/>
      <c r="N44" s="506" t="str">
        <f t="shared" si="0"/>
        <v>Fixed use - vessel filling</v>
      </c>
      <c r="O44" s="124" t="s">
        <v>280</v>
      </c>
      <c r="P44" s="124" t="s">
        <v>280</v>
      </c>
      <c r="Q44" s="124" t="s">
        <v>280</v>
      </c>
      <c r="R44" s="121">
        <f>$G$44</f>
        <v>1.58</v>
      </c>
    </row>
    <row r="45" spans="1:18" s="144" customFormat="1" ht="24.95" customHeight="1" x14ac:dyDescent="0.2">
      <c r="A45" s="113"/>
      <c r="B45" s="524" t="s">
        <v>538</v>
      </c>
      <c r="C45" s="525"/>
      <c r="D45" s="525"/>
      <c r="E45" s="525"/>
      <c r="F45" s="525"/>
      <c r="G45" s="526"/>
      <c r="H45" s="355"/>
      <c r="I45" s="504"/>
      <c r="J45" s="504"/>
      <c r="K45" s="504"/>
      <c r="L45" s="504"/>
      <c r="M45" s="504"/>
      <c r="N45" s="326" t="str">
        <f>B45</f>
        <v>Tap components (cleaning) - staff kitchenette</v>
      </c>
      <c r="O45" s="326"/>
      <c r="P45" s="326"/>
      <c r="Q45" s="326"/>
      <c r="R45" s="327"/>
    </row>
    <row r="46" spans="1:18" s="144" customFormat="1" ht="15" customHeight="1" x14ac:dyDescent="0.2">
      <c r="A46" s="113"/>
      <c r="B46" s="202" t="str">
        <f>'Activity database'!R3</f>
        <v>Kitchen taps - kitchenette</v>
      </c>
      <c r="C46" s="203" t="s">
        <v>526</v>
      </c>
      <c r="D46" s="266"/>
      <c r="E46" s="203">
        <f>VLOOKUP($B$16,'Activity database'!$A:$AN,18,FALSE)</f>
        <v>1</v>
      </c>
      <c r="F46" s="203">
        <f>VLOOKUP($B$16,'Activity database'!$A:$AN,34,FALSE)</f>
        <v>0.67</v>
      </c>
      <c r="G46" s="204">
        <f>(D46*E46*F46)*(VLOOKUP(B13,'Activity database'!A:AR,44,FALSE))</f>
        <v>0</v>
      </c>
      <c r="I46" s="148"/>
      <c r="J46" s="148"/>
      <c r="K46" s="148"/>
      <c r="L46" s="148"/>
      <c r="M46" s="148"/>
      <c r="N46" s="506" t="str">
        <f>B46</f>
        <v>Kitchen taps - kitchenette</v>
      </c>
      <c r="O46" s="124">
        <f>IF($D$46="",0,VLOOKUP($N$46,'Activity database'!$AT:$BA,2,FALSE))</f>
        <v>0</v>
      </c>
      <c r="P46" s="124">
        <f>E46</f>
        <v>1</v>
      </c>
      <c r="Q46" s="124">
        <f>F46</f>
        <v>0.67</v>
      </c>
      <c r="R46" s="121">
        <f>IF($D$46="",0,(O46*$P$46*$Q$46)*(VLOOKUP($B$13,'Activity database'!$A:$AR,44,FALSE)))</f>
        <v>0</v>
      </c>
    </row>
    <row r="47" spans="1:18" s="144" customFormat="1" ht="15" customHeight="1" x14ac:dyDescent="0.2">
      <c r="A47" s="113"/>
      <c r="B47" s="130" t="str">
        <f>'Activity database'!U3</f>
        <v>Dishwasher</v>
      </c>
      <c r="C47" s="121" t="s">
        <v>535</v>
      </c>
      <c r="D47" s="267"/>
      <c r="E47" s="124">
        <f>VLOOKUP($B$16,'Activity database'!$A:$AN,21,FALSE)</f>
        <v>0.04</v>
      </c>
      <c r="F47" s="124">
        <f>VLOOKUP($B$16,'Activity database'!$A:$AN,37,FALSE)</f>
        <v>1</v>
      </c>
      <c r="G47" s="121">
        <f>D47*E47*F47</f>
        <v>0</v>
      </c>
      <c r="I47" s="148"/>
      <c r="J47" s="148"/>
      <c r="K47" s="148"/>
      <c r="L47" s="148"/>
      <c r="M47" s="148"/>
      <c r="N47" s="506" t="str">
        <f>B47</f>
        <v>Dishwasher</v>
      </c>
      <c r="O47" s="124">
        <f>IF($D$47="",0,'Activity database'!AU16)</f>
        <v>0</v>
      </c>
      <c r="P47" s="124">
        <f>E47</f>
        <v>0.04</v>
      </c>
      <c r="Q47" s="124">
        <f>F47</f>
        <v>1</v>
      </c>
      <c r="R47" s="121">
        <f>O47*$P$47*$Q$47</f>
        <v>0</v>
      </c>
    </row>
    <row r="48" spans="1:18" s="144" customFormat="1" ht="24.95" customHeight="1" x14ac:dyDescent="0.2">
      <c r="A48" s="113"/>
      <c r="B48" s="524" t="s">
        <v>846</v>
      </c>
      <c r="C48" s="525"/>
      <c r="D48" s="525"/>
      <c r="E48" s="525"/>
      <c r="F48" s="525"/>
      <c r="G48" s="526"/>
      <c r="I48" s="148"/>
      <c r="J48" s="148"/>
      <c r="K48" s="148"/>
      <c r="L48" s="148"/>
      <c r="M48" s="148"/>
      <c r="N48" s="326" t="str">
        <f>B48</f>
        <v>Tap components (cleaning and food preparation) - staff canteen food preparation area</v>
      </c>
      <c r="O48" s="326"/>
      <c r="P48" s="326"/>
      <c r="Q48" s="326"/>
      <c r="R48" s="327"/>
    </row>
    <row r="49" spans="1:18" s="144" customFormat="1" ht="15" customHeight="1" x14ac:dyDescent="0.2">
      <c r="A49" s="113"/>
      <c r="B49" s="130" t="str">
        <f>'Activity database'!S3</f>
        <v>Kitchen taps - pre-rinse nozzle</v>
      </c>
      <c r="C49" s="129" t="s">
        <v>526</v>
      </c>
      <c r="D49" s="267"/>
      <c r="E49" s="124" t="s">
        <v>521</v>
      </c>
      <c r="F49" s="124">
        <f>VLOOKUP($B$18,'Activity database'!A:BO,35,FALSE)</f>
        <v>60</v>
      </c>
      <c r="G49" s="121" t="str">
        <f>IF(ISERROR((D49*F49)/O138),Q137,((D49*F49)/O138))</f>
        <v>Requires building information</v>
      </c>
      <c r="I49" s="148"/>
      <c r="J49" s="148"/>
      <c r="K49" s="148"/>
      <c r="L49" s="148"/>
      <c r="M49" s="148"/>
      <c r="N49" s="506" t="str">
        <f t="shared" ref="N49:N54" si="2">B49</f>
        <v>Kitchen taps - pre-rinse nozzle</v>
      </c>
      <c r="O49" s="124">
        <f>IF($D$49="",0,VLOOKUP($N$49,'Activity database'!$AT:$BA,2,FALSE))</f>
        <v>0</v>
      </c>
      <c r="P49" s="124" t="str">
        <f t="shared" ref="P49:Q52" si="3">E49</f>
        <v>-</v>
      </c>
      <c r="Q49" s="124">
        <f t="shared" si="3"/>
        <v>60</v>
      </c>
      <c r="R49" s="121">
        <f>IF($D$49="",0,(O49*$Q$49)/$O$138)</f>
        <v>0</v>
      </c>
    </row>
    <row r="50" spans="1:18" s="144" customFormat="1" ht="15" customHeight="1" x14ac:dyDescent="0.2">
      <c r="A50" s="113"/>
      <c r="B50" s="130" t="str">
        <f>'Activity database'!U3</f>
        <v>Dishwasher</v>
      </c>
      <c r="C50" s="129" t="s">
        <v>103</v>
      </c>
      <c r="D50" s="267"/>
      <c r="E50" s="124" t="s">
        <v>521</v>
      </c>
      <c r="F50" s="125">
        <f>VLOOKUP($B$18,'Activity database'!A:BO,37,FALSE)</f>
        <v>0.217</v>
      </c>
      <c r="G50" s="121" t="str">
        <f>IF(ISERROR((F50*G18*D50)/O138),Q137,((F50*G18*D50)/O138))</f>
        <v>Requires building information</v>
      </c>
      <c r="I50" s="148"/>
      <c r="J50" s="148"/>
      <c r="K50" s="148"/>
      <c r="L50" s="148"/>
      <c r="M50" s="148"/>
      <c r="N50" s="506" t="str">
        <f t="shared" si="2"/>
        <v>Dishwasher</v>
      </c>
      <c r="O50" s="124">
        <f>IF($D$50="",0,'Activity database'!AU19)</f>
        <v>0</v>
      </c>
      <c r="P50" s="124" t="str">
        <f t="shared" si="3"/>
        <v>-</v>
      </c>
      <c r="Q50" s="124">
        <f t="shared" si="3"/>
        <v>0.217</v>
      </c>
      <c r="R50" s="121">
        <f>IF($D$50="",0,($Q$50*$G$18*O50)/$O$138)</f>
        <v>0</v>
      </c>
    </row>
    <row r="51" spans="1:18" s="144" customFormat="1" ht="15" customHeight="1" x14ac:dyDescent="0.2">
      <c r="A51" s="113"/>
      <c r="B51" s="130" t="str">
        <f>'Activity database'!W3</f>
        <v>Waste disposal unit</v>
      </c>
      <c r="C51" s="129" t="s">
        <v>526</v>
      </c>
      <c r="D51" s="267"/>
      <c r="E51" s="124" t="s">
        <v>521</v>
      </c>
      <c r="F51" s="124">
        <f>VLOOKUP($B$18,'Activity database'!A:BO,39,FALSE)</f>
        <v>30</v>
      </c>
      <c r="G51" s="121" t="str">
        <f>IF(ISERROR((D51*F51)/O138),Q137,((D51*F51)/O138))</f>
        <v>Requires building information</v>
      </c>
      <c r="I51" s="148"/>
      <c r="J51" s="148"/>
      <c r="K51" s="148"/>
      <c r="L51" s="148"/>
      <c r="M51" s="148"/>
      <c r="N51" s="506" t="str">
        <f t="shared" si="2"/>
        <v>Waste disposal unit</v>
      </c>
      <c r="O51" s="124">
        <f>IF($D$51="",0,VLOOKUP($N$51,'Activity database'!$AT:$BA,2,FALSE))</f>
        <v>0</v>
      </c>
      <c r="P51" s="124" t="str">
        <f t="shared" si="3"/>
        <v>-</v>
      </c>
      <c r="Q51" s="124">
        <f t="shared" si="3"/>
        <v>30</v>
      </c>
      <c r="R51" s="121">
        <f>IF($D$51="",0,(O51*$Q$51)/$O$138)</f>
        <v>0</v>
      </c>
    </row>
    <row r="52" spans="1:18" s="144" customFormat="1" ht="15" hidden="1" customHeight="1" x14ac:dyDescent="0.2">
      <c r="A52" s="290" t="s">
        <v>761</v>
      </c>
      <c r="B52" s="130" t="str">
        <f>'Activity database'!V3</f>
        <v>Washing machine</v>
      </c>
      <c r="C52" s="129" t="s">
        <v>528</v>
      </c>
      <c r="D52" s="260"/>
      <c r="E52" s="124" t="str">
        <f>VLOOKUP($B$13,'Activity database'!$A:$AN,22,FALSE)</f>
        <v>N/A</v>
      </c>
      <c r="F52" s="124" t="str">
        <f>VLOOKUP($B$13,'Activity database'!$A:$AN,38,FALSE)</f>
        <v>-</v>
      </c>
      <c r="G52" s="121">
        <f>IF(ISERROR(IF(E52="N/A",0,IF(F18="Yes",(D52*E52*F52),0))),Q137,IF(E52="N/A",0,IF(F18="Yes",(D52*E52*F52),0)))</f>
        <v>0</v>
      </c>
      <c r="H52" s="290" t="s">
        <v>761</v>
      </c>
      <c r="I52" s="148"/>
      <c r="J52" s="148"/>
      <c r="K52" s="148"/>
      <c r="L52" s="148"/>
      <c r="M52" s="148"/>
      <c r="N52" s="506" t="str">
        <f t="shared" si="2"/>
        <v>Washing machine</v>
      </c>
      <c r="O52" s="124">
        <f>IF($D$52="",0,'Activity database'!AU20)</f>
        <v>0</v>
      </c>
      <c r="P52" s="124" t="str">
        <f t="shared" si="3"/>
        <v>N/A</v>
      </c>
      <c r="Q52" s="124" t="str">
        <f t="shared" si="3"/>
        <v>-</v>
      </c>
      <c r="R52" s="121">
        <f>IF($D$52="",0,IF($F$18="Yes",(O52*$P$52*$Q$52)))</f>
        <v>0</v>
      </c>
    </row>
    <row r="53" spans="1:18" s="144" customFormat="1" ht="15" customHeight="1" x14ac:dyDescent="0.2">
      <c r="A53" s="113"/>
      <c r="B53" s="130" t="str">
        <f>'Activity database'!Y3</f>
        <v>Fixed use - food preparation</v>
      </c>
      <c r="C53" s="129" t="s">
        <v>386</v>
      </c>
      <c r="D53" s="124" t="s">
        <v>521</v>
      </c>
      <c r="E53" s="124" t="s">
        <v>521</v>
      </c>
      <c r="F53" s="124" t="s">
        <v>521</v>
      </c>
      <c r="G53" s="121">
        <f>IF(ISERROR(IF(F18="Yes",(VLOOKUP(B18,'Activity database'!A:BO,25,FALSE)/O138),0)),Q137,IF(F18="Yes",(VLOOKUP(B18,'Activity database'!A:BO,25,FALSE)/O138),0))</f>
        <v>0</v>
      </c>
      <c r="H53" s="355"/>
      <c r="I53" s="504"/>
      <c r="J53" s="504"/>
      <c r="K53" s="504"/>
      <c r="L53" s="504"/>
      <c r="M53" s="504"/>
      <c r="N53" s="506" t="str">
        <f t="shared" si="2"/>
        <v>Fixed use - food preparation</v>
      </c>
      <c r="O53" s="124" t="s">
        <v>280</v>
      </c>
      <c r="P53" s="124" t="str">
        <f>E53</f>
        <v>-</v>
      </c>
      <c r="Q53" s="124" t="s">
        <v>280</v>
      </c>
      <c r="R53" s="121">
        <f>$G$53</f>
        <v>0</v>
      </c>
    </row>
    <row r="54" spans="1:18" s="144" customFormat="1" ht="15" customHeight="1" x14ac:dyDescent="0.2">
      <c r="A54" s="113"/>
      <c r="B54" s="130" t="str">
        <f>'Activity database'!Z3</f>
        <v>Fixed use - kitchen cleaning</v>
      </c>
      <c r="C54" s="129" t="s">
        <v>386</v>
      </c>
      <c r="D54" s="124" t="s">
        <v>521</v>
      </c>
      <c r="E54" s="124" t="s">
        <v>521</v>
      </c>
      <c r="F54" s="124" t="s">
        <v>521</v>
      </c>
      <c r="G54" s="121">
        <f>IF(ISERROR(IF(F18="Yes",(VLOOKUP(B18,'Activity database'!A:BO,26,FALSE)/O138),0)),Q137,(IF(F18="Yes",(VLOOKUP(B18,'Activity database'!A:BO,26,FALSE)/O138),0)))</f>
        <v>0</v>
      </c>
      <c r="H54" s="355"/>
      <c r="I54" s="504"/>
      <c r="J54" s="504"/>
      <c r="K54" s="504"/>
      <c r="L54" s="504"/>
      <c r="M54" s="504"/>
      <c r="N54" s="506" t="str">
        <f t="shared" si="2"/>
        <v>Fixed use - kitchen cleaning</v>
      </c>
      <c r="O54" s="124" t="s">
        <v>280</v>
      </c>
      <c r="P54" s="124" t="str">
        <f>E54</f>
        <v>-</v>
      </c>
      <c r="Q54" s="124" t="s">
        <v>280</v>
      </c>
      <c r="R54" s="121">
        <f>$G$54</f>
        <v>0</v>
      </c>
    </row>
    <row r="55" spans="1:18" s="144" customFormat="1" ht="15" customHeight="1" x14ac:dyDescent="0.2">
      <c r="A55" s="113"/>
      <c r="B55" s="113"/>
      <c r="C55" s="113"/>
      <c r="D55" s="113"/>
      <c r="E55" s="113"/>
      <c r="F55" s="113"/>
      <c r="G55" s="113"/>
      <c r="I55" s="148"/>
      <c r="J55" s="148"/>
      <c r="K55" s="148"/>
      <c r="L55" s="148"/>
      <c r="M55" s="148"/>
      <c r="N55" s="148"/>
      <c r="O55" s="148"/>
      <c r="P55" s="148"/>
      <c r="Q55" s="148"/>
      <c r="R55" s="148"/>
    </row>
    <row r="56" spans="1:18" s="144" customFormat="1" ht="24.95" customHeight="1" x14ac:dyDescent="0.2">
      <c r="A56" s="113"/>
      <c r="B56" s="113"/>
      <c r="C56" s="113"/>
      <c r="D56" s="113"/>
      <c r="E56" s="113"/>
      <c r="F56" s="113"/>
      <c r="G56" s="527" t="s">
        <v>657</v>
      </c>
      <c r="H56" s="603" t="s">
        <v>951</v>
      </c>
      <c r="I56" s="603"/>
      <c r="J56" s="603"/>
      <c r="K56" s="603"/>
      <c r="L56" s="603"/>
      <c r="M56" s="603"/>
      <c r="N56" s="148"/>
      <c r="O56" s="148"/>
      <c r="P56" s="148"/>
      <c r="Q56" s="113"/>
      <c r="R56" s="138" t="s">
        <v>953</v>
      </c>
    </row>
    <row r="57" spans="1:18" s="144" customFormat="1" ht="15" customHeight="1" x14ac:dyDescent="0.2">
      <c r="A57" s="113"/>
      <c r="B57" s="113"/>
      <c r="C57" s="113"/>
      <c r="D57" s="113"/>
      <c r="E57" s="113"/>
      <c r="F57" s="140" t="s">
        <v>5</v>
      </c>
      <c r="G57" s="119" t="str">
        <f>IF(OR(G24=Q137,AND(F16=Q131,F17=Q131,F18=Q131,F19=Q131)),Q137,(SUM(G24:G25)+G28+G31+G34+SUM(G39:G44)+SUM(G46:G47)+SUM(G49:G54)))</f>
        <v>Requires building information</v>
      </c>
      <c r="H57" s="603"/>
      <c r="I57" s="603"/>
      <c r="J57" s="603"/>
      <c r="K57" s="603"/>
      <c r="L57" s="603"/>
      <c r="M57" s="603"/>
      <c r="N57" s="148"/>
      <c r="O57" s="148"/>
      <c r="P57" s="148"/>
      <c r="Q57" s="332" t="s">
        <v>630</v>
      </c>
      <c r="R57" s="119" t="e">
        <f>SUM(R24+R25)+R28+R31+R34+SUM(R39:R44)+SUM(R46:R47)+SUM(R49:R54)-R60</f>
        <v>#DIV/0!</v>
      </c>
    </row>
    <row r="58" spans="1:18" s="144" customFormat="1" ht="24.95" customHeight="1" x14ac:dyDescent="0.2">
      <c r="A58" s="113"/>
      <c r="B58" s="113"/>
      <c r="C58" s="113"/>
      <c r="D58" s="137"/>
      <c r="E58" s="137"/>
      <c r="F58" s="137"/>
      <c r="G58" s="114"/>
      <c r="H58" s="603"/>
      <c r="I58" s="603"/>
      <c r="J58" s="603"/>
      <c r="K58" s="603"/>
      <c r="L58" s="603"/>
      <c r="M58" s="603"/>
      <c r="N58" s="148"/>
      <c r="O58" s="164"/>
      <c r="P58" s="164"/>
      <c r="Q58" s="164"/>
      <c r="R58" s="164"/>
    </row>
    <row r="59" spans="1:18" s="144" customFormat="1" ht="32.1" customHeight="1" x14ac:dyDescent="0.2">
      <c r="A59" s="113"/>
      <c r="B59" s="516" t="s">
        <v>627</v>
      </c>
      <c r="C59" s="516"/>
      <c r="D59" s="516"/>
      <c r="E59" s="516"/>
      <c r="F59" s="516"/>
      <c r="G59" s="516"/>
      <c r="H59" s="603"/>
      <c r="I59" s="603"/>
      <c r="J59" s="603"/>
      <c r="K59" s="603"/>
      <c r="L59" s="603"/>
      <c r="M59" s="603"/>
      <c r="P59" s="148"/>
      <c r="Q59" s="113"/>
      <c r="R59" s="138" t="s">
        <v>952</v>
      </c>
    </row>
    <row r="60" spans="1:18" s="144" customFormat="1" ht="24.95" customHeight="1" x14ac:dyDescent="0.2">
      <c r="A60" s="113"/>
      <c r="B60" s="113"/>
      <c r="C60" s="113"/>
      <c r="D60" s="113"/>
      <c r="E60" s="113"/>
      <c r="F60" s="113"/>
      <c r="G60" s="114"/>
      <c r="H60" s="148"/>
      <c r="Q60" s="332" t="s">
        <v>630</v>
      </c>
      <c r="R60" s="119">
        <f>R54+R53+R44</f>
        <v>1.58</v>
      </c>
    </row>
    <row r="61" spans="1:18" s="144" customFormat="1" ht="15" customHeight="1" x14ac:dyDescent="0.2">
      <c r="A61" s="346" t="str">
        <f>IF(G61=$Q$129,"&gt;","")</f>
        <v/>
      </c>
      <c r="B61" s="115"/>
      <c r="C61" s="132"/>
      <c r="D61" s="133"/>
      <c r="E61" s="133"/>
      <c r="F61" s="134" t="s">
        <v>993</v>
      </c>
      <c r="G61" s="268" t="s">
        <v>523</v>
      </c>
      <c r="H61" s="148"/>
    </row>
    <row r="62" spans="1:18" s="144" customFormat="1" ht="12" customHeight="1" x14ac:dyDescent="0.2">
      <c r="A62" s="113"/>
      <c r="B62" s="113"/>
      <c r="C62" s="141"/>
      <c r="D62" s="113"/>
      <c r="E62" s="113"/>
      <c r="F62" s="113"/>
      <c r="G62" s="114"/>
      <c r="H62" s="148"/>
    </row>
    <row r="63" spans="1:18" s="144" customFormat="1" ht="24.95" customHeight="1" x14ac:dyDescent="0.2">
      <c r="A63" s="113"/>
      <c r="B63" s="113"/>
      <c r="C63" s="529" t="s">
        <v>115</v>
      </c>
      <c r="D63" s="523"/>
      <c r="E63" s="523" t="s">
        <v>529</v>
      </c>
      <c r="F63" s="527" t="s">
        <v>169</v>
      </c>
      <c r="G63" s="527" t="s">
        <v>910</v>
      </c>
      <c r="H63" s="148"/>
    </row>
    <row r="64" spans="1:18" s="144" customFormat="1" ht="15" customHeight="1" x14ac:dyDescent="0.2">
      <c r="A64" s="113"/>
      <c r="B64" s="346" t="str">
        <f>IF(D39="","",IF(AND($G$61=$Q$130,E64=""),"&gt;",IF(AND($G$61=$Q$130,E64=$Q$130,F64=""),"&gt;","")))</f>
        <v/>
      </c>
      <c r="C64" s="123" t="str">
        <f>B39</f>
        <v>Wash hand basin taps</v>
      </c>
      <c r="D64" s="166"/>
      <c r="E64" s="261"/>
      <c r="F64" s="269"/>
      <c r="G64" s="121">
        <f>IF(OR(E64=$Q$131,E64=""),0,G39*F64)</f>
        <v>0</v>
      </c>
      <c r="H64" s="167"/>
    </row>
    <row r="65" spans="1:28" s="144" customFormat="1" ht="15" customHeight="1" x14ac:dyDescent="0.2">
      <c r="A65" s="113"/>
      <c r="B65" s="346" t="str">
        <f>IF(AND($G$61=$Q$130,E65=""),"&gt;",IF(AND($G$61=$Q$130,E65=$Q$130,F65=""),"&gt;",""))</f>
        <v/>
      </c>
      <c r="C65" s="123" t="s">
        <v>397</v>
      </c>
      <c r="D65" s="166"/>
      <c r="E65" s="261"/>
      <c r="F65" s="269"/>
      <c r="G65" s="121">
        <f>IF(OR(E65=$Q$131,E65=""),0,(SUM(G40:G41)*F65))</f>
        <v>0</v>
      </c>
      <c r="H65" s="167"/>
      <c r="AB65" s="164"/>
    </row>
    <row r="66" spans="1:28" s="144" customFormat="1" ht="15" customHeight="1" x14ac:dyDescent="0.2">
      <c r="A66" s="113"/>
      <c r="B66" s="346" t="str">
        <f>IF(AND($G$61=$Q$130,E66=""),"&gt;",IF(AND($G$61=$Q$130,E66=$Q$130,F66=""),"&gt;",""))</f>
        <v/>
      </c>
      <c r="C66" s="123" t="str">
        <f>B46</f>
        <v>Kitchen taps - kitchenette</v>
      </c>
      <c r="D66" s="166"/>
      <c r="E66" s="267"/>
      <c r="F66" s="269"/>
      <c r="G66" s="121">
        <f>IF(OR(E66=$Q$131,E66=""),0,G46*F66)</f>
        <v>0</v>
      </c>
      <c r="H66" s="167"/>
      <c r="AB66" s="164"/>
    </row>
    <row r="67" spans="1:28" s="144" customFormat="1" ht="15" customHeight="1" x14ac:dyDescent="0.2">
      <c r="A67" s="113"/>
      <c r="B67" s="346" t="str">
        <f>IF(AND($G$61=$Q$130,E67=""),"&gt;",IF(AND($G$61=$Q$130,E67=$Q$130,F67=""),"&gt;",""))</f>
        <v/>
      </c>
      <c r="C67" s="123" t="s">
        <v>113</v>
      </c>
      <c r="D67" s="166"/>
      <c r="E67" s="271"/>
      <c r="F67" s="269"/>
      <c r="G67" s="121">
        <f>IF(OR(E67=$Q$131,E67=""),0,F67*G47)</f>
        <v>0</v>
      </c>
      <c r="H67" s="167"/>
      <c r="AB67" s="164"/>
    </row>
    <row r="68" spans="1:28" s="144" customFormat="1" ht="15" customHeight="1" x14ac:dyDescent="0.2">
      <c r="A68" s="113"/>
      <c r="B68" s="346" t="str">
        <f>IF(AND($G$61=$Q$130,E68=""),"&gt;",IF(AND($G$61=$Q$130,E68=$Q$130,F68=""),"&gt;",""))</f>
        <v/>
      </c>
      <c r="C68" s="123" t="str">
        <f>B49</f>
        <v>Kitchen taps - pre-rinse nozzle</v>
      </c>
      <c r="D68" s="166"/>
      <c r="E68" s="267"/>
      <c r="F68" s="270"/>
      <c r="G68" s="121">
        <f>IF(OR(E68=$Q$131,E68=""),0,G49*F68)</f>
        <v>0</v>
      </c>
      <c r="H68" s="167"/>
      <c r="AB68" s="164"/>
    </row>
    <row r="69" spans="1:28" s="144" customFormat="1" ht="15" customHeight="1" x14ac:dyDescent="0.2">
      <c r="A69" s="113"/>
      <c r="B69" s="346" t="str">
        <f>IF(AND($G$61=$Q$130,E69=""),"&gt;",IF(AND($G$61=$Q$130,E69=$Q$130,F69=""),"&gt;",""))</f>
        <v/>
      </c>
      <c r="C69" s="123" t="s">
        <v>114</v>
      </c>
      <c r="D69" s="166"/>
      <c r="E69" s="267"/>
      <c r="F69" s="270"/>
      <c r="G69" s="121">
        <f>IF(OR(E69=$Q$131,E69=""),0,F69*G50)</f>
        <v>0</v>
      </c>
      <c r="H69" s="167"/>
      <c r="AB69" s="164"/>
    </row>
    <row r="70" spans="1:28" s="144" customFormat="1" ht="15" hidden="1" customHeight="1" x14ac:dyDescent="0.2">
      <c r="A70" s="113"/>
      <c r="B70" s="346" t="str">
        <f>IF(AND($G$61=Q136,E70=""),"&gt;","")</f>
        <v/>
      </c>
      <c r="C70" s="280" t="s">
        <v>79</v>
      </c>
      <c r="D70" s="281"/>
      <c r="E70" s="285"/>
      <c r="F70" s="286"/>
      <c r="G70" s="282">
        <f>IF(OR(E70=Q131,E70="",E42="N/A",E43="N/A"),0,(SUM(G42:G43)*F70))</f>
        <v>0</v>
      </c>
      <c r="H70" s="290" t="s">
        <v>735</v>
      </c>
      <c r="I70" s="288"/>
      <c r="AB70" s="164"/>
    </row>
    <row r="71" spans="1:28" s="144" customFormat="1" ht="15" hidden="1" customHeight="1" x14ac:dyDescent="0.2">
      <c r="A71" s="113"/>
      <c r="B71" s="346" t="str">
        <f>IF(AND($G$61=Q137,E71=""),"&gt;","")</f>
        <v/>
      </c>
      <c r="C71" s="283" t="str">
        <f>B52</f>
        <v>Washing machine</v>
      </c>
      <c r="D71" s="284"/>
      <c r="E71" s="260"/>
      <c r="F71" s="287"/>
      <c r="G71" s="121">
        <f>IF(OR(E71=Q132,E71=""),0,F71*G52)</f>
        <v>0</v>
      </c>
      <c r="H71" s="290" t="s">
        <v>735</v>
      </c>
      <c r="I71" s="288"/>
      <c r="AB71" s="164"/>
    </row>
    <row r="72" spans="1:28" s="144" customFormat="1" ht="24.95" customHeight="1" x14ac:dyDescent="0.2">
      <c r="A72" s="113"/>
      <c r="B72" s="113"/>
      <c r="C72" s="527" t="s">
        <v>168</v>
      </c>
      <c r="D72" s="527" t="s">
        <v>911</v>
      </c>
      <c r="E72" s="527" t="s">
        <v>912</v>
      </c>
      <c r="F72" s="527" t="s">
        <v>913</v>
      </c>
      <c r="G72" s="527" t="s">
        <v>910</v>
      </c>
      <c r="H72" s="603" t="str">
        <f>IF(G61=Q130,N141,"")</f>
        <v/>
      </c>
      <c r="I72" s="603"/>
      <c r="J72" s="603"/>
      <c r="K72" s="603"/>
      <c r="L72" s="603"/>
      <c r="M72" s="603"/>
      <c r="AB72" s="165"/>
    </row>
    <row r="73" spans="1:28" s="144" customFormat="1" ht="15" customHeight="1" x14ac:dyDescent="0.2">
      <c r="A73" s="113"/>
      <c r="B73" s="113"/>
      <c r="C73" s="130" t="s">
        <v>398</v>
      </c>
      <c r="D73" s="261"/>
      <c r="E73" s="261"/>
      <c r="F73" s="121" t="str">
        <f>IF(D73="","",D73/E73)</f>
        <v/>
      </c>
      <c r="G73" s="121">
        <f>IF(D73="",0,F73/$O$138)</f>
        <v>0</v>
      </c>
      <c r="H73" s="603"/>
      <c r="I73" s="603"/>
      <c r="J73" s="603"/>
      <c r="K73" s="603"/>
      <c r="L73" s="603"/>
      <c r="M73" s="603"/>
      <c r="AB73" s="164"/>
    </row>
    <row r="74" spans="1:28" s="144" customFormat="1" ht="15" customHeight="1" x14ac:dyDescent="0.2">
      <c r="A74" s="113"/>
      <c r="B74" s="113"/>
      <c r="C74" s="113"/>
      <c r="D74" s="113"/>
      <c r="E74" s="113"/>
      <c r="F74" s="113"/>
      <c r="G74" s="113"/>
      <c r="H74" s="603"/>
      <c r="I74" s="603"/>
      <c r="J74" s="603"/>
      <c r="K74" s="603"/>
      <c r="L74" s="603"/>
      <c r="M74" s="603"/>
      <c r="AB74" s="164"/>
    </row>
    <row r="75" spans="1:28" s="144" customFormat="1" ht="24.95" customHeight="1" x14ac:dyDescent="0.2">
      <c r="A75" s="113"/>
      <c r="B75" s="113"/>
      <c r="C75" s="113"/>
      <c r="D75" s="113"/>
      <c r="E75" s="113"/>
      <c r="F75" s="113"/>
      <c r="G75" s="527" t="s">
        <v>656</v>
      </c>
      <c r="H75" s="148"/>
      <c r="AB75" s="164"/>
    </row>
    <row r="76" spans="1:28" s="144" customFormat="1" ht="15" customHeight="1" x14ac:dyDescent="0.2">
      <c r="A76" s="113"/>
      <c r="B76" s="113"/>
      <c r="C76" s="113"/>
      <c r="D76" s="113"/>
      <c r="E76" s="113"/>
      <c r="F76" s="140" t="s">
        <v>5</v>
      </c>
      <c r="G76" s="121">
        <f>IF(OR(G61=Q132,G61=Q131),0,SUM(G64:G71)+G73)</f>
        <v>0</v>
      </c>
      <c r="H76" s="148"/>
    </row>
    <row r="77" spans="1:28" s="144" customFormat="1" ht="24.95" customHeight="1" x14ac:dyDescent="0.2">
      <c r="A77" s="113"/>
      <c r="B77" s="113"/>
      <c r="C77" s="113"/>
      <c r="D77" s="113"/>
      <c r="E77" s="113"/>
      <c r="F77" s="113"/>
      <c r="G77" s="114"/>
      <c r="H77" s="148"/>
    </row>
    <row r="78" spans="1:28" s="144" customFormat="1" ht="32.1" customHeight="1" x14ac:dyDescent="0.2">
      <c r="A78" s="113"/>
      <c r="B78" s="516" t="s">
        <v>914</v>
      </c>
      <c r="C78" s="516"/>
      <c r="D78" s="516"/>
      <c r="E78" s="516"/>
      <c r="F78" s="516"/>
      <c r="G78" s="516"/>
      <c r="H78" s="148"/>
    </row>
    <row r="79" spans="1:28" s="144" customFormat="1" ht="24.95" customHeight="1" x14ac:dyDescent="0.2">
      <c r="A79" s="113"/>
      <c r="B79" s="136"/>
      <c r="C79" s="136"/>
      <c r="D79" s="113"/>
      <c r="E79" s="113"/>
      <c r="F79" s="113"/>
      <c r="G79" s="114"/>
      <c r="H79" s="148"/>
    </row>
    <row r="80" spans="1:28" s="144" customFormat="1" ht="15" customHeight="1" x14ac:dyDescent="0.2">
      <c r="A80" s="346" t="str">
        <f>IF(G80=$Q$129,"&gt;","")</f>
        <v/>
      </c>
      <c r="B80" s="115"/>
      <c r="C80" s="132"/>
      <c r="D80" s="133"/>
      <c r="E80" s="133"/>
      <c r="F80" s="134" t="s">
        <v>992</v>
      </c>
      <c r="G80" s="272" t="s">
        <v>523</v>
      </c>
      <c r="H80" s="148"/>
    </row>
    <row r="81" spans="1:28" s="144" customFormat="1" x14ac:dyDescent="0.2">
      <c r="A81" s="113"/>
      <c r="B81" s="113"/>
      <c r="C81" s="113"/>
      <c r="D81" s="113"/>
      <c r="E81" s="113"/>
      <c r="F81" s="168"/>
      <c r="G81" s="114"/>
      <c r="H81" s="148"/>
    </row>
    <row r="82" spans="1:28" s="144" customFormat="1" ht="15" customHeight="1" x14ac:dyDescent="0.2">
      <c r="A82" s="346" t="str">
        <f>IF(AND($G$80=$Q$130,G82=$Q$129),"&gt;","")</f>
        <v/>
      </c>
      <c r="B82" s="115"/>
      <c r="C82" s="132"/>
      <c r="D82" s="133"/>
      <c r="E82" s="133"/>
      <c r="F82" s="134" t="s">
        <v>32</v>
      </c>
      <c r="G82" s="272" t="s">
        <v>654</v>
      </c>
      <c r="H82" s="148"/>
    </row>
    <row r="83" spans="1:28" s="144" customFormat="1" ht="24.95" customHeight="1" x14ac:dyDescent="0.2">
      <c r="A83" s="113"/>
      <c r="B83" s="142" t="s">
        <v>915</v>
      </c>
      <c r="C83" s="113"/>
      <c r="D83" s="113"/>
      <c r="E83" s="113"/>
      <c r="F83" s="113"/>
      <c r="G83" s="169"/>
      <c r="H83" s="148"/>
    </row>
    <row r="84" spans="1:28" s="144" customFormat="1" ht="25.5" x14ac:dyDescent="0.2">
      <c r="A84" s="113"/>
      <c r="B84" s="527" t="s">
        <v>531</v>
      </c>
      <c r="C84" s="527" t="s">
        <v>401</v>
      </c>
      <c r="D84" s="527" t="s">
        <v>400</v>
      </c>
      <c r="E84" s="527" t="s">
        <v>916</v>
      </c>
      <c r="F84" s="527" t="s">
        <v>917</v>
      </c>
      <c r="G84" s="527" t="s">
        <v>918</v>
      </c>
      <c r="H84" s="148"/>
      <c r="I84" s="165"/>
      <c r="J84" s="165"/>
      <c r="K84" s="165"/>
      <c r="L84" s="165"/>
      <c r="M84" s="165"/>
      <c r="N84" s="165"/>
      <c r="O84" s="165"/>
      <c r="P84" s="165"/>
      <c r="Q84" s="165"/>
      <c r="R84" s="165"/>
      <c r="S84" s="165"/>
      <c r="T84" s="165"/>
      <c r="U84" s="165"/>
      <c r="V84" s="165"/>
      <c r="W84" s="165"/>
      <c r="X84" s="165"/>
      <c r="Y84" s="165"/>
      <c r="Z84" s="165"/>
      <c r="AA84" s="165"/>
      <c r="AB84" s="165"/>
    </row>
    <row r="85" spans="1:28" s="144" customFormat="1" ht="15" customHeight="1" x14ac:dyDescent="0.2">
      <c r="A85" s="346" t="str">
        <f>IF(AND($G$80=$Q$130,$G$82=$S$130,OR(B85="",C85="",D85="",E85="")),"&gt;","")</f>
        <v/>
      </c>
      <c r="B85" s="261"/>
      <c r="C85" s="261"/>
      <c r="D85" s="277"/>
      <c r="E85" s="277"/>
      <c r="F85" s="135">
        <f>B85*E85*D85*C85</f>
        <v>0</v>
      </c>
      <c r="G85" s="119">
        <f>IF(ISERROR(IF(OR(G80=Q132,G80=Q131,G82=S131),0,(F85/365)/O138)),Q137,IF(OR(G80=Q132,G80=Q131,G82=S131),0,(F85/365)/O138))</f>
        <v>0</v>
      </c>
      <c r="H85" s="148"/>
      <c r="I85" s="164"/>
      <c r="J85" s="164"/>
      <c r="K85" s="164"/>
      <c r="L85" s="164"/>
      <c r="M85" s="164"/>
      <c r="N85" s="164"/>
      <c r="O85" s="164"/>
      <c r="P85" s="164"/>
      <c r="Q85" s="164"/>
      <c r="R85" s="164"/>
      <c r="S85" s="164"/>
      <c r="T85" s="164"/>
      <c r="U85" s="164"/>
      <c r="V85" s="164"/>
      <c r="W85" s="164"/>
      <c r="X85" s="164"/>
      <c r="Y85" s="164"/>
      <c r="Z85" s="164"/>
      <c r="AA85" s="164"/>
      <c r="AB85" s="164"/>
    </row>
    <row r="86" spans="1:28" s="144" customFormat="1" ht="24.95" customHeight="1" x14ac:dyDescent="0.2">
      <c r="A86" s="113"/>
      <c r="B86" s="113"/>
      <c r="C86" s="113"/>
      <c r="D86" s="113"/>
      <c r="E86" s="113"/>
      <c r="F86" s="142" t="s">
        <v>162</v>
      </c>
      <c r="G86" s="114"/>
      <c r="H86" s="148"/>
      <c r="I86" s="165"/>
      <c r="J86" s="165"/>
      <c r="K86" s="165"/>
      <c r="L86" s="165"/>
      <c r="M86" s="165"/>
      <c r="N86" s="165"/>
      <c r="O86" s="165"/>
      <c r="P86" s="165"/>
      <c r="Q86" s="165"/>
      <c r="R86" s="165"/>
      <c r="S86" s="165"/>
      <c r="T86" s="165"/>
      <c r="U86" s="165"/>
      <c r="V86" s="165"/>
      <c r="W86" s="165"/>
      <c r="X86" s="165"/>
      <c r="Y86" s="165"/>
      <c r="Z86" s="165"/>
      <c r="AA86" s="165"/>
      <c r="AB86" s="165"/>
    </row>
    <row r="87" spans="1:28" s="144" customFormat="1" ht="25.5" x14ac:dyDescent="0.2">
      <c r="A87" s="113"/>
      <c r="B87" s="113"/>
      <c r="C87" s="113"/>
      <c r="D87" s="113"/>
      <c r="E87" s="113"/>
      <c r="F87" s="527" t="s">
        <v>403</v>
      </c>
      <c r="G87" s="527" t="s">
        <v>919</v>
      </c>
      <c r="H87" s="148"/>
      <c r="I87" s="164"/>
      <c r="J87" s="164"/>
      <c r="K87" s="164"/>
      <c r="L87" s="164"/>
      <c r="M87" s="164"/>
      <c r="N87" s="164"/>
      <c r="O87" s="164"/>
      <c r="P87" s="164"/>
      <c r="Q87" s="164"/>
      <c r="R87" s="164"/>
      <c r="S87" s="164"/>
      <c r="T87" s="164"/>
      <c r="U87" s="164"/>
      <c r="V87" s="164"/>
      <c r="W87" s="164"/>
      <c r="X87" s="164"/>
      <c r="Y87" s="164"/>
      <c r="Z87" s="164"/>
      <c r="AA87" s="164"/>
      <c r="AB87" s="164"/>
    </row>
    <row r="88" spans="1:28" s="144" customFormat="1" ht="15" customHeight="1" x14ac:dyDescent="0.2">
      <c r="A88" s="113"/>
      <c r="B88" s="113"/>
      <c r="C88" s="113"/>
      <c r="D88" s="113"/>
      <c r="E88" s="346" t="str">
        <f>IF(AND($G$80=$Q$130,$G$82=$S$131,F88=""),"&gt;","")</f>
        <v/>
      </c>
      <c r="F88" s="261"/>
      <c r="G88" s="119">
        <f>IF(ISERROR(IF(OR(G82=S130,G80=Q132,G80=Q131),0,(F88/O138))),Q137,IF(OR(G82=S130,G80=Q132,G80=Q131),0,(F88/O138)))</f>
        <v>0</v>
      </c>
      <c r="H88" s="164"/>
      <c r="I88" s="164"/>
      <c r="J88" s="164"/>
      <c r="K88" s="164"/>
      <c r="L88" s="164"/>
      <c r="M88" s="164"/>
      <c r="N88" s="164"/>
      <c r="O88" s="164"/>
      <c r="P88" s="164"/>
      <c r="Q88" s="164"/>
      <c r="R88" s="164"/>
      <c r="S88" s="164"/>
      <c r="T88" s="164"/>
      <c r="U88" s="164"/>
      <c r="V88" s="164"/>
      <c r="W88" s="164"/>
      <c r="X88" s="164"/>
      <c r="Y88" s="164"/>
      <c r="Z88" s="164"/>
      <c r="AA88" s="164"/>
      <c r="AB88" s="164"/>
    </row>
    <row r="89" spans="1:28" s="144" customFormat="1" ht="24.95" customHeight="1" x14ac:dyDescent="0.2">
      <c r="A89" s="113"/>
      <c r="B89" s="113"/>
      <c r="C89" s="113"/>
      <c r="D89" s="113"/>
      <c r="E89" s="113"/>
      <c r="F89" s="113"/>
      <c r="G89" s="114"/>
      <c r="H89" s="148"/>
    </row>
    <row r="90" spans="1:28" s="144" customFormat="1" ht="32.1" customHeight="1" x14ac:dyDescent="0.2">
      <c r="A90" s="113"/>
      <c r="B90" s="516" t="s">
        <v>628</v>
      </c>
      <c r="C90" s="516"/>
      <c r="D90" s="516"/>
      <c r="E90" s="516"/>
      <c r="F90" s="516"/>
      <c r="G90" s="516"/>
      <c r="H90" s="148"/>
    </row>
    <row r="91" spans="1:28" s="144" customFormat="1" ht="24.95" customHeight="1" x14ac:dyDescent="0.2">
      <c r="A91" s="113"/>
      <c r="B91" s="113"/>
      <c r="C91" s="113"/>
      <c r="D91" s="113"/>
      <c r="E91" s="113"/>
      <c r="F91" s="113"/>
      <c r="G91" s="114"/>
      <c r="H91" s="148"/>
    </row>
    <row r="92" spans="1:28" s="144" customFormat="1" ht="24.95" customHeight="1" x14ac:dyDescent="0.2">
      <c r="A92" s="113"/>
      <c r="B92" s="113"/>
      <c r="C92" s="113"/>
      <c r="D92" s="113"/>
      <c r="E92" s="113"/>
      <c r="F92" s="113"/>
      <c r="G92" s="527" t="s">
        <v>658</v>
      </c>
      <c r="H92" s="148"/>
    </row>
    <row r="93" spans="1:28" s="144" customFormat="1" ht="15" customHeight="1" x14ac:dyDescent="0.2">
      <c r="A93" s="113"/>
      <c r="B93" s="113"/>
      <c r="C93" s="113"/>
      <c r="D93" s="113"/>
      <c r="E93" s="113"/>
      <c r="F93" s="140" t="s">
        <v>5</v>
      </c>
      <c r="G93" s="119">
        <f>IF(ISERROR(G88+G85+G76),Q137,G88+G85+G76)</f>
        <v>0</v>
      </c>
      <c r="H93" s="148"/>
    </row>
    <row r="94" spans="1:28" s="144" customFormat="1" x14ac:dyDescent="0.2">
      <c r="A94" s="113"/>
      <c r="B94" s="113"/>
      <c r="C94" s="113"/>
      <c r="D94" s="113"/>
      <c r="E94" s="113"/>
      <c r="F94" s="113"/>
      <c r="G94" s="114"/>
      <c r="H94" s="148"/>
    </row>
    <row r="95" spans="1:28" s="144" customFormat="1" ht="39" customHeight="1" x14ac:dyDescent="0.2">
      <c r="A95" s="113"/>
      <c r="B95" s="113"/>
      <c r="C95" s="113"/>
      <c r="D95" s="527" t="s">
        <v>384</v>
      </c>
      <c r="E95" s="527" t="s">
        <v>920</v>
      </c>
      <c r="F95" s="527" t="s">
        <v>161</v>
      </c>
      <c r="G95" s="527" t="s">
        <v>1</v>
      </c>
      <c r="H95" s="148"/>
    </row>
    <row r="96" spans="1:28" s="144" customFormat="1" ht="15" customHeight="1" x14ac:dyDescent="0.2">
      <c r="A96" s="113"/>
      <c r="B96" s="113"/>
      <c r="C96" s="346" t="str">
        <f>IF(AND(OR($G$61=$Q$129,$G$61=$Q$131,$G$61=$Q$132),OR($G$80=$Q$129,$G$80=$Q$131,$G$80=$Q$132)),"",IF(E96=$Q$131,"",IF(OR(E96="",F96=""),"&gt;","")))</f>
        <v/>
      </c>
      <c r="D96" s="205" t="s">
        <v>269</v>
      </c>
      <c r="E96" s="273"/>
      <c r="F96" s="274"/>
      <c r="G96" s="206">
        <f>IF(E96="no",0,F96*SUM(G24:G25))</f>
        <v>0</v>
      </c>
      <c r="H96" s="148"/>
    </row>
    <row r="97" spans="1:40" s="144" customFormat="1" ht="15" customHeight="1" x14ac:dyDescent="0.2">
      <c r="A97" s="113"/>
      <c r="B97" s="320"/>
      <c r="C97" s="346" t="str">
        <f>IF(B24=R131,"",IF(AND(OR($G$61=$Q$129,$G$61=$Q$131,$G$61=$Q$132),OR($G$80=$Q$129,$G$80=$Q$131,$G$80=$Q$132)),"",IF(E97=$Q$131,"",IF(OR(E97="",F97=""),"&gt;",""))))</f>
        <v/>
      </c>
      <c r="D97" s="205" t="s">
        <v>270</v>
      </c>
      <c r="E97" s="273"/>
      <c r="F97" s="274"/>
      <c r="G97" s="206">
        <f>IF(OR(E97="no",B24=R131),0,F97*SUM(G28:G34))</f>
        <v>0</v>
      </c>
      <c r="H97" s="148"/>
    </row>
    <row r="98" spans="1:40" s="144" customFormat="1" ht="24.95" customHeight="1" x14ac:dyDescent="0.2">
      <c r="A98" s="113"/>
      <c r="B98" s="113"/>
      <c r="C98" s="113"/>
      <c r="D98" s="113"/>
      <c r="E98" s="113"/>
      <c r="F98" s="113"/>
      <c r="G98" s="527" t="s">
        <v>659</v>
      </c>
      <c r="H98" s="148"/>
    </row>
    <row r="99" spans="1:40" s="144" customFormat="1" ht="15" customHeight="1" x14ac:dyDescent="0.2">
      <c r="A99" s="113"/>
      <c r="B99" s="113"/>
      <c r="C99" s="113"/>
      <c r="D99" s="113"/>
      <c r="E99" s="113"/>
      <c r="F99" s="207" t="s">
        <v>5</v>
      </c>
      <c r="G99" s="119">
        <f>IF((SUM(G96:G97))&gt;G93,G93,SUM(G96:G97))</f>
        <v>0</v>
      </c>
      <c r="H99" s="148"/>
    </row>
    <row r="100" spans="1:40" s="144" customFormat="1" ht="24.95" customHeight="1" x14ac:dyDescent="0.2">
      <c r="A100" s="113"/>
      <c r="B100" s="113"/>
      <c r="C100" s="117"/>
      <c r="D100" s="142" t="s">
        <v>655</v>
      </c>
      <c r="E100" s="113"/>
      <c r="F100" s="113"/>
      <c r="G100" s="114"/>
      <c r="H100" s="148"/>
    </row>
    <row r="101" spans="1:40" s="144" customFormat="1" ht="15" customHeight="1" x14ac:dyDescent="0.2">
      <c r="A101" s="346"/>
      <c r="B101" s="113"/>
      <c r="C101" s="346" t="str">
        <f>IF(AND(OR($G$61=$Q$129,$G$61=$Q$131,$G$61=$Q$132),OR($G$80=$Q$129,$G$80=$Q$131,$G$80=$Q$132)),"",IF(G101=$Q$129,"&gt;",""))</f>
        <v/>
      </c>
      <c r="D101" s="257"/>
      <c r="E101" s="166"/>
      <c r="F101" s="134" t="s">
        <v>0</v>
      </c>
      <c r="G101" s="275" t="s">
        <v>654</v>
      </c>
      <c r="H101" s="148"/>
    </row>
    <row r="102" spans="1:40" s="144" customFormat="1" ht="24.95" customHeight="1" x14ac:dyDescent="0.2">
      <c r="A102" s="113"/>
      <c r="B102" s="113"/>
      <c r="C102" s="117"/>
      <c r="D102" s="113"/>
      <c r="E102" s="113"/>
      <c r="F102" s="113"/>
      <c r="G102" s="527" t="s">
        <v>616</v>
      </c>
      <c r="H102" s="148"/>
    </row>
    <row r="103" spans="1:40" s="144" customFormat="1" ht="15" customHeight="1" x14ac:dyDescent="0.2">
      <c r="A103" s="113"/>
      <c r="B103" s="113"/>
      <c r="C103" s="117"/>
      <c r="D103" s="113"/>
      <c r="E103" s="113"/>
      <c r="F103" s="113"/>
      <c r="G103" s="210">
        <f>IF(ISERROR(IF(AND(G101="yes",G99&gt;G93),0,(G93-G99)*O138)),Q137,IF(AND(G101="yes",G99&gt;G93),0,(G93-G99)*O138))</f>
        <v>0</v>
      </c>
      <c r="H103" s="148"/>
    </row>
    <row r="104" spans="1:40" s="144" customFormat="1" ht="15" customHeight="1" x14ac:dyDescent="0.2">
      <c r="A104" s="113"/>
      <c r="B104" s="113"/>
      <c r="C104" s="346" t="str">
        <f>IF(AND(OR($G$61=$Q$129,$G$61=$Q$131,$G$61=$Q$132),OR($G$80=$Q$129,$G$80=$Q$131,$G$80=$Q$132)),"",IF(AND(G101=$Q$130,G104=""),"&gt;",""))</f>
        <v/>
      </c>
      <c r="D104" s="208"/>
      <c r="E104" s="209"/>
      <c r="F104" s="134" t="s">
        <v>2</v>
      </c>
      <c r="G104" s="276"/>
      <c r="H104" s="148"/>
    </row>
    <row r="105" spans="1:40" s="144" customFormat="1" ht="24.95" customHeight="1" x14ac:dyDescent="0.2">
      <c r="A105" s="113"/>
      <c r="B105" s="113"/>
      <c r="C105" s="117"/>
      <c r="D105" s="113"/>
      <c r="E105" s="113"/>
      <c r="F105" s="113"/>
      <c r="G105" s="527" t="s">
        <v>921</v>
      </c>
      <c r="H105" s="148"/>
    </row>
    <row r="106" spans="1:40" s="144" customFormat="1" ht="15" customHeight="1" x14ac:dyDescent="0.2">
      <c r="A106" s="113"/>
      <c r="B106" s="113"/>
      <c r="C106" s="113"/>
      <c r="D106" s="113"/>
      <c r="E106" s="113"/>
      <c r="F106" s="140" t="s">
        <v>5</v>
      </c>
      <c r="G106" s="206" t="str">
        <f>IF(ISERROR((G104*G103)/O138),Q137,(G104*G103)/O138)</f>
        <v>Requires building information</v>
      </c>
      <c r="H106" s="148"/>
      <c r="AC106" s="146"/>
      <c r="AN106" s="147"/>
    </row>
    <row r="107" spans="1:40" s="144" customFormat="1" ht="15" customHeight="1" x14ac:dyDescent="0.2">
      <c r="A107" s="113"/>
      <c r="B107" s="113"/>
      <c r="C107" s="113"/>
      <c r="D107" s="113"/>
      <c r="E107" s="113"/>
      <c r="F107" s="113"/>
      <c r="G107" s="114"/>
      <c r="H107" s="148"/>
      <c r="AC107" s="146"/>
      <c r="AN107" s="147"/>
    </row>
    <row r="108" spans="1:40" s="144" customFormat="1" ht="39" customHeight="1" x14ac:dyDescent="0.2">
      <c r="A108" s="113"/>
      <c r="B108" s="113"/>
      <c r="C108" s="113"/>
      <c r="D108" s="113"/>
      <c r="E108" s="113"/>
      <c r="F108" s="113"/>
      <c r="G108" s="527" t="s">
        <v>660</v>
      </c>
      <c r="H108" s="148"/>
      <c r="AC108" s="146"/>
      <c r="AN108" s="147"/>
    </row>
    <row r="109" spans="1:40" s="144" customFormat="1" ht="15" customHeight="1" x14ac:dyDescent="0.2">
      <c r="A109" s="113"/>
      <c r="B109" s="113"/>
      <c r="C109" s="113"/>
      <c r="D109" s="113"/>
      <c r="E109" s="113"/>
      <c r="F109" s="140" t="s">
        <v>630</v>
      </c>
      <c r="G109" s="119" t="str">
        <f>IF(ISERROR(G99+G106),Q137,G99+G106)</f>
        <v>Requires building information</v>
      </c>
      <c r="H109" s="148"/>
      <c r="AC109" s="146"/>
      <c r="AN109" s="147"/>
    </row>
    <row r="110" spans="1:40" s="144" customFormat="1" ht="24.95" customHeight="1" x14ac:dyDescent="0.2">
      <c r="A110" s="113"/>
      <c r="B110" s="113"/>
      <c r="C110" s="113"/>
      <c r="D110" s="113"/>
      <c r="E110" s="113"/>
      <c r="F110" s="113"/>
      <c r="G110" s="114"/>
      <c r="H110" s="148"/>
      <c r="AC110" s="146"/>
      <c r="AN110" s="147"/>
    </row>
    <row r="111" spans="1:40" s="144" customFormat="1" ht="32.1" customHeight="1" x14ac:dyDescent="0.2">
      <c r="A111" s="113"/>
      <c r="B111" s="516" t="s">
        <v>4</v>
      </c>
      <c r="C111" s="516"/>
      <c r="D111" s="516"/>
      <c r="E111" s="516"/>
      <c r="F111" s="516"/>
      <c r="G111" s="516"/>
      <c r="H111" s="148"/>
      <c r="AC111" s="146"/>
      <c r="AN111" s="147"/>
    </row>
    <row r="112" spans="1:40" s="144" customFormat="1" ht="24.95" customHeight="1" x14ac:dyDescent="0.2">
      <c r="A112" s="113"/>
      <c r="B112" s="113"/>
      <c r="C112" s="168"/>
      <c r="D112" s="113"/>
      <c r="E112" s="113"/>
      <c r="F112" s="113"/>
      <c r="G112" s="114"/>
      <c r="H112" s="148"/>
      <c r="AC112" s="146"/>
      <c r="AN112" s="147"/>
    </row>
    <row r="113" spans="1:40" s="144" customFormat="1" ht="24.95" customHeight="1" x14ac:dyDescent="0.2">
      <c r="A113" s="113"/>
      <c r="B113" s="113"/>
      <c r="C113" s="168"/>
      <c r="D113" s="149"/>
      <c r="E113" s="113"/>
      <c r="F113" s="527" t="s">
        <v>386</v>
      </c>
      <c r="G113" s="527" t="s">
        <v>958</v>
      </c>
      <c r="H113" s="148"/>
      <c r="AC113" s="146"/>
      <c r="AN113" s="147"/>
    </row>
    <row r="114" spans="1:40" s="144" customFormat="1" ht="15" customHeight="1" x14ac:dyDescent="0.2">
      <c r="A114" s="113"/>
      <c r="B114" s="531"/>
      <c r="C114" s="532"/>
      <c r="D114" s="532"/>
      <c r="E114" s="533" t="s">
        <v>955</v>
      </c>
      <c r="F114" s="530" t="str">
        <f>IF(ISERROR(R57),Q137,R57)</f>
        <v>Requires building information</v>
      </c>
      <c r="G114" s="211" t="str">
        <f>IF(ISERROR((F114/1000)*$F$13),Q137,(F114/1000)*$F$13)</f>
        <v>Requires building information</v>
      </c>
      <c r="H114" s="148"/>
      <c r="AC114" s="146"/>
      <c r="AN114" s="147"/>
    </row>
    <row r="115" spans="1:40" s="144" customFormat="1" x14ac:dyDescent="0.2">
      <c r="A115" s="113"/>
      <c r="B115" s="117"/>
      <c r="C115" s="117"/>
      <c r="D115" s="113"/>
      <c r="E115" s="168"/>
      <c r="F115" s="170"/>
      <c r="G115" s="114"/>
      <c r="H115" s="148"/>
      <c r="AC115" s="146"/>
      <c r="AN115" s="147"/>
    </row>
    <row r="116" spans="1:40" s="144" customFormat="1" ht="15" customHeight="1" x14ac:dyDescent="0.2">
      <c r="A116" s="113"/>
      <c r="B116" s="531"/>
      <c r="C116" s="532"/>
      <c r="D116" s="532"/>
      <c r="E116" s="533" t="s">
        <v>956</v>
      </c>
      <c r="F116" s="211" t="str">
        <f>IF(ISERROR(G57-R60),Q137,G57-R60)</f>
        <v>Requires building information</v>
      </c>
      <c r="G116" s="211" t="str">
        <f>IF(ISERROR((F116/1000)*$F$13),Q137,(F116/1000)*$F$13)</f>
        <v>Requires building information</v>
      </c>
      <c r="H116" s="148"/>
      <c r="AC116" s="146"/>
      <c r="AN116" s="147"/>
    </row>
    <row r="117" spans="1:40" s="144" customFormat="1" x14ac:dyDescent="0.2">
      <c r="A117" s="113"/>
      <c r="B117" s="117"/>
      <c r="C117" s="117"/>
      <c r="D117" s="113"/>
      <c r="E117" s="168"/>
      <c r="F117" s="170"/>
      <c r="G117" s="170"/>
      <c r="H117" s="148"/>
      <c r="AC117" s="146"/>
      <c r="AN117" s="147"/>
    </row>
    <row r="118" spans="1:40" s="144" customFormat="1" ht="15" customHeight="1" x14ac:dyDescent="0.2">
      <c r="A118" s="113"/>
      <c r="B118" s="531"/>
      <c r="C118" s="532"/>
      <c r="D118" s="532"/>
      <c r="E118" s="533" t="s">
        <v>661</v>
      </c>
      <c r="F118" s="211" t="str">
        <f>IF(ISERROR(G109),Q137,G109)</f>
        <v>Requires building information</v>
      </c>
      <c r="G118" s="211" t="str">
        <f>IF(ISERROR((F118/1000)*$F$13),Q137,(F118/1000)*$F$13)</f>
        <v>Requires building information</v>
      </c>
      <c r="H118" s="163"/>
      <c r="I118" s="171"/>
      <c r="J118" s="171"/>
      <c r="K118" s="171"/>
      <c r="L118" s="171"/>
      <c r="N118" s="172"/>
      <c r="AC118" s="146"/>
      <c r="AN118" s="147"/>
    </row>
    <row r="119" spans="1:40" s="144" customFormat="1" x14ac:dyDescent="0.2">
      <c r="A119" s="113"/>
      <c r="B119" s="117"/>
      <c r="C119" s="117"/>
      <c r="D119" s="113"/>
      <c r="E119" s="168"/>
      <c r="F119" s="170"/>
      <c r="G119" s="170"/>
      <c r="H119" s="163"/>
      <c r="N119" s="172"/>
      <c r="AC119" s="146"/>
      <c r="AN119" s="147"/>
    </row>
    <row r="120" spans="1:40" s="144" customFormat="1" ht="15" customHeight="1" x14ac:dyDescent="0.2">
      <c r="A120" s="113"/>
      <c r="B120" s="531"/>
      <c r="C120" s="532"/>
      <c r="D120" s="532"/>
      <c r="E120" s="533" t="s">
        <v>649</v>
      </c>
      <c r="F120" s="211" t="str">
        <f>IF(ISERROR(IF(AND((OR(G80=Q132,G80=Q131)),((OR(G61=Q132,G61=Q131)))),Q132,IF(OR(N124="1 credit",N124="2 credits",N124="3 credits"),Q135,IF(OR(N124="4 credits",N124="5 credits"),(IF((1-(F116/F114))&lt;0.25,"No","Yes")))))),Q137,IF(AND((OR(G80=Q132,G80=Q131)),((OR(G61=Q132,G61=Q131)))),Q132,IF(OR(N124="1 credit",N124="2 credits",N124="3 credits"),Q135,IF(OR(N124="4 credits",N124="5 credits"),(IF((1-(F116/F114))&lt;0.25,"No","Yes"))))))</f>
        <v>System not specified</v>
      </c>
      <c r="G120" s="170"/>
      <c r="H120" s="163"/>
      <c r="I120" s="173"/>
      <c r="J120" s="173"/>
      <c r="K120" s="173"/>
      <c r="L120" s="173"/>
      <c r="M120" s="117"/>
      <c r="N120" s="172"/>
      <c r="AC120" s="146"/>
      <c r="AN120" s="147"/>
    </row>
    <row r="121" spans="1:40" s="144" customFormat="1" ht="24.95" customHeight="1" x14ac:dyDescent="0.2">
      <c r="A121" s="113"/>
      <c r="B121" s="117"/>
      <c r="C121" s="117"/>
      <c r="D121" s="113"/>
      <c r="E121" s="168"/>
      <c r="F121" s="170"/>
      <c r="G121" s="170"/>
      <c r="H121" s="163"/>
      <c r="M121" s="117"/>
      <c r="N121" s="174" t="s">
        <v>648</v>
      </c>
      <c r="O121" s="172"/>
      <c r="AC121" s="146"/>
      <c r="AN121" s="147"/>
    </row>
    <row r="122" spans="1:40" s="144" customFormat="1" ht="15" customHeight="1" x14ac:dyDescent="0.2">
      <c r="A122" s="113"/>
      <c r="B122" s="531"/>
      <c r="C122" s="532"/>
      <c r="D122" s="532"/>
      <c r="E122" s="533" t="s">
        <v>957</v>
      </c>
      <c r="F122" s="211" t="str">
        <f>IF(ISERROR(IF(OR(F120="Yes",F120=Q132),F116-F118,(F116-((1-(F116/F114))*F118)))),Q137,IF(OR(F120="Yes",F120=Q132),F116-F118,(F116-((1-(F116/F114))*F118))))</f>
        <v>Requires building information</v>
      </c>
      <c r="G122" s="211" t="str">
        <f>IF(ISERROR((F122/1000)*$F$13),Q137,((F122/1000)*$F$13))</f>
        <v>Requires building information</v>
      </c>
      <c r="H122" s="163"/>
      <c r="I122" s="156"/>
      <c r="J122" s="156"/>
      <c r="K122" s="156"/>
      <c r="L122" s="156"/>
      <c r="M122" s="117"/>
      <c r="N122" s="175" t="e">
        <f>1-(F116-F118)/F114</f>
        <v>#VALUE!</v>
      </c>
      <c r="O122" s="172" t="s">
        <v>646</v>
      </c>
      <c r="AC122" s="146"/>
      <c r="AN122" s="147"/>
    </row>
    <row r="123" spans="1:40" s="144" customFormat="1" x14ac:dyDescent="0.2">
      <c r="A123" s="113"/>
      <c r="B123" s="117"/>
      <c r="C123" s="117"/>
      <c r="D123" s="113"/>
      <c r="E123" s="168"/>
      <c r="F123" s="170"/>
      <c r="G123" s="170"/>
      <c r="H123" s="163"/>
      <c r="M123" s="117"/>
      <c r="N123" s="176"/>
      <c r="O123" s="172"/>
      <c r="AC123" s="146"/>
      <c r="AN123" s="147"/>
    </row>
    <row r="124" spans="1:40" s="144" customFormat="1" ht="15" customHeight="1" x14ac:dyDescent="0.2">
      <c r="A124" s="113"/>
      <c r="B124" s="531"/>
      <c r="C124" s="532"/>
      <c r="D124" s="532"/>
      <c r="E124" s="533" t="s">
        <v>156</v>
      </c>
      <c r="F124" s="212" t="str">
        <f>IF(OR(F114=Q137,F116=Q137,F118=Q137,F120=Q137),Q137,IF(OR(F120="yes",F120=Q135,F120=Q132),N122,(IF(F120="No",1-((F116-(F118*(1-(F116/F114))))/F114)))))</f>
        <v>Requires building information</v>
      </c>
      <c r="G124" s="114"/>
      <c r="H124" s="163"/>
      <c r="I124" s="148"/>
      <c r="J124" s="148"/>
      <c r="K124" s="148"/>
      <c r="L124" s="148"/>
      <c r="M124" s="149"/>
      <c r="N124" s="175" t="e">
        <f>VLOOKUP(N122,CreditsOff,2,TRUE)</f>
        <v>#VALUE!</v>
      </c>
      <c r="O124" s="172" t="s">
        <v>647</v>
      </c>
      <c r="AC124" s="146"/>
      <c r="AN124" s="147"/>
    </row>
    <row r="125" spans="1:40" s="144" customFormat="1" x14ac:dyDescent="0.2">
      <c r="A125" s="113"/>
      <c r="B125" s="117"/>
      <c r="C125" s="117"/>
      <c r="D125" s="113"/>
      <c r="E125" s="140"/>
      <c r="F125" s="177"/>
      <c r="G125" s="114"/>
      <c r="H125" s="163"/>
      <c r="M125" s="178"/>
      <c r="N125" s="172"/>
      <c r="AC125" s="146"/>
      <c r="AN125" s="147"/>
    </row>
    <row r="126" spans="1:40" s="144" customFormat="1" ht="15" customHeight="1" x14ac:dyDescent="0.2">
      <c r="A126" s="113"/>
      <c r="B126" s="531"/>
      <c r="C126" s="532"/>
      <c r="D126" s="532"/>
      <c r="E126" s="533" t="s">
        <v>721</v>
      </c>
      <c r="F126" s="213" t="str">
        <f>IF(ISERROR(VLOOKUP(F124,CreditsOff,2,TRUE)),Q137,VLOOKUP(F124,CreditsOff,2,TRUE))</f>
        <v>Requires building information</v>
      </c>
      <c r="G126" s="114"/>
      <c r="H126" s="163"/>
      <c r="I126" s="159"/>
      <c r="J126" s="159"/>
      <c r="K126" s="159"/>
      <c r="L126" s="159"/>
      <c r="M126" s="159"/>
      <c r="N126" s="159"/>
      <c r="AC126" s="146"/>
      <c r="AN126" s="147"/>
    </row>
    <row r="127" spans="1:40" s="144" customFormat="1" ht="15" customHeight="1" x14ac:dyDescent="0.2">
      <c r="A127" s="113"/>
      <c r="B127" s="117"/>
      <c r="C127" s="117"/>
      <c r="D127" s="113"/>
      <c r="E127" s="140"/>
      <c r="F127" s="118"/>
      <c r="G127" s="114"/>
      <c r="H127" s="163"/>
      <c r="M127" s="179"/>
      <c r="N127" s="172"/>
      <c r="AC127" s="146"/>
      <c r="AN127" s="147"/>
    </row>
    <row r="128" spans="1:40" s="144" customFormat="1" ht="15" customHeight="1" x14ac:dyDescent="0.2">
      <c r="A128" s="113"/>
      <c r="B128" s="531"/>
      <c r="C128" s="532"/>
      <c r="D128" s="532"/>
      <c r="E128" s="533" t="s">
        <v>1004</v>
      </c>
      <c r="F128" s="213" t="str">
        <f>IF(F124=Q137,Q137,IF(F124&gt;=ExempOff,"1 innovation credit achieved","Exemplary level not achieved"))</f>
        <v>Requires building information</v>
      </c>
      <c r="G128" s="114"/>
      <c r="H128" s="180"/>
      <c r="I128" s="159"/>
      <c r="J128" s="159"/>
      <c r="K128" s="159"/>
      <c r="L128" s="159"/>
      <c r="M128" s="179"/>
      <c r="N128" s="172"/>
      <c r="U128" s="144" t="s">
        <v>962</v>
      </c>
      <c r="AC128" s="146"/>
      <c r="AN128" s="147"/>
    </row>
    <row r="129" spans="1:40" s="144" customFormat="1" ht="15" customHeight="1" x14ac:dyDescent="0.2">
      <c r="A129" s="113"/>
      <c r="B129" s="113"/>
      <c r="C129" s="113"/>
      <c r="D129" s="113"/>
      <c r="E129" s="113"/>
      <c r="F129" s="113"/>
      <c r="G129" s="114"/>
      <c r="H129" s="163"/>
      <c r="P129" s="144" t="s">
        <v>654</v>
      </c>
      <c r="Q129" s="144" t="s">
        <v>654</v>
      </c>
      <c r="R129" s="144" t="s">
        <v>654</v>
      </c>
      <c r="S129" s="144" t="s">
        <v>654</v>
      </c>
      <c r="T129" s="179">
        <v>0</v>
      </c>
      <c r="U129" s="144" t="s">
        <v>654</v>
      </c>
      <c r="AC129" s="146"/>
      <c r="AN129" s="147"/>
    </row>
    <row r="130" spans="1:40" s="144" customFormat="1" ht="15" customHeight="1" x14ac:dyDescent="0.2">
      <c r="A130" s="113"/>
      <c r="B130" s="531"/>
      <c r="C130" s="532"/>
      <c r="D130" s="532"/>
      <c r="E130" s="533" t="s">
        <v>954</v>
      </c>
      <c r="F130" s="211" t="str">
        <f>IF(ISERROR(F116+R60-F118),Q137,F116+R60-F118)</f>
        <v>Requires building information</v>
      </c>
      <c r="G130" s="211" t="str">
        <f>IF(ISERROR((F130/1000)*$F$13),Q137,(F130/1000)*$F$13)</f>
        <v>Requires building information</v>
      </c>
      <c r="H130" s="163"/>
      <c r="M130" s="156"/>
      <c r="N130" s="146"/>
      <c r="O130" s="165" t="s">
        <v>390</v>
      </c>
      <c r="P130" s="144" t="s">
        <v>515</v>
      </c>
      <c r="Q130" s="144" t="s">
        <v>522</v>
      </c>
      <c r="R130" s="181" t="str">
        <f>'Activity database'!I3</f>
        <v>WC - male (urinals installed)</v>
      </c>
      <c r="S130" s="182" t="s">
        <v>402</v>
      </c>
      <c r="T130" s="179">
        <v>0.01</v>
      </c>
      <c r="U130" s="144" t="s">
        <v>963</v>
      </c>
      <c r="AC130" s="146"/>
      <c r="AN130" s="147"/>
    </row>
    <row r="131" spans="1:40" s="144" customFormat="1" x14ac:dyDescent="0.2">
      <c r="A131" s="113"/>
      <c r="B131" s="113"/>
      <c r="C131" s="113"/>
      <c r="D131" s="183"/>
      <c r="E131" s="184"/>
      <c r="F131" s="113"/>
      <c r="G131" s="114"/>
      <c r="H131" s="163"/>
      <c r="M131" s="156"/>
      <c r="N131" s="160" t="str">
        <f>B16</f>
        <v>Office - Office areas</v>
      </c>
      <c r="O131" s="162">
        <f>IF(F16="Yes",VLOOKUP(B16,'Activity database'!A:BO,3,FALSE)*G16,0)</f>
        <v>0</v>
      </c>
      <c r="P131" s="144" t="s">
        <v>516</v>
      </c>
      <c r="Q131" s="144" t="s">
        <v>523</v>
      </c>
      <c r="R131" s="181" t="str">
        <f>'Activity database'!J3</f>
        <v>WC - male (no urinals installed)</v>
      </c>
      <c r="S131" s="182" t="s">
        <v>530</v>
      </c>
      <c r="T131" s="179">
        <v>0.02</v>
      </c>
      <c r="U131" s="144" t="s">
        <v>964</v>
      </c>
      <c r="AC131" s="146"/>
      <c r="AN131" s="147"/>
    </row>
    <row r="132" spans="1:40" s="144" customFormat="1" x14ac:dyDescent="0.2">
      <c r="A132" s="113"/>
      <c r="B132" s="117"/>
      <c r="C132" s="117"/>
      <c r="D132" s="185"/>
      <c r="E132" s="186"/>
      <c r="F132" s="117"/>
      <c r="G132" s="187"/>
      <c r="H132" s="146"/>
      <c r="M132" s="188"/>
      <c r="N132" s="146"/>
      <c r="Q132" s="144" t="s">
        <v>650</v>
      </c>
      <c r="T132" s="179">
        <v>0.03</v>
      </c>
      <c r="U132" s="144" t="s">
        <v>965</v>
      </c>
      <c r="AC132" s="146"/>
      <c r="AN132" s="147"/>
    </row>
    <row r="133" spans="1:40" s="144" customFormat="1" x14ac:dyDescent="0.2">
      <c r="A133" s="113"/>
      <c r="B133" s="117"/>
      <c r="C133" s="117"/>
      <c r="D133" s="185"/>
      <c r="E133" s="186"/>
      <c r="F133" s="117"/>
      <c r="G133" s="187"/>
      <c r="H133" s="146"/>
      <c r="N133" s="160" t="str">
        <f>B17</f>
        <v>Office - Small workshop / laboratory space</v>
      </c>
      <c r="O133" s="162">
        <f>IF(F17="Yes",VLOOKUP(B17,'Activity database'!A:BO,3,FALSE)*G17,0)</f>
        <v>0</v>
      </c>
      <c r="R133" s="189"/>
      <c r="T133" s="179">
        <v>0.04</v>
      </c>
      <c r="Y133" s="171"/>
      <c r="AC133" s="146"/>
      <c r="AN133" s="147"/>
    </row>
    <row r="134" spans="1:40" s="144" customFormat="1" x14ac:dyDescent="0.2">
      <c r="A134" s="113"/>
      <c r="B134" s="117"/>
      <c r="C134" s="117"/>
      <c r="D134" s="185"/>
      <c r="E134" s="186"/>
      <c r="F134" s="117"/>
      <c r="G134" s="187"/>
      <c r="N134" s="146"/>
      <c r="T134" s="179">
        <v>0.05</v>
      </c>
      <c r="AC134" s="146"/>
      <c r="AN134" s="147"/>
    </row>
    <row r="135" spans="1:40" s="144" customFormat="1" x14ac:dyDescent="0.2">
      <c r="A135" s="113"/>
      <c r="B135" s="117"/>
      <c r="C135" s="117"/>
      <c r="D135" s="185"/>
      <c r="E135" s="186"/>
      <c r="F135" s="117"/>
      <c r="G135" s="187"/>
      <c r="N135" s="160" t="str">
        <f>B18</f>
        <v>Office - Staff canteen dining area</v>
      </c>
      <c r="O135" s="162">
        <f>IF(F18="Yes",(VLOOKUP(B18,'Activity database'!A:BO,3,FALSE)*G18),0)</f>
        <v>0</v>
      </c>
      <c r="P135" s="190"/>
      <c r="Q135" s="144" t="s">
        <v>651</v>
      </c>
      <c r="R135" s="189"/>
      <c r="T135" s="179">
        <v>0.06</v>
      </c>
      <c r="AC135" s="146"/>
      <c r="AN135" s="147"/>
    </row>
    <row r="136" spans="1:40" s="144" customFormat="1" x14ac:dyDescent="0.2">
      <c r="A136" s="113"/>
      <c r="B136" s="117"/>
      <c r="C136" s="117"/>
      <c r="D136" s="185"/>
      <c r="E136" s="186"/>
      <c r="F136" s="117"/>
      <c r="G136" s="187"/>
      <c r="N136" s="146"/>
      <c r="T136" s="179">
        <v>7.0000000000000007E-2</v>
      </c>
      <c r="AC136" s="146"/>
      <c r="AN136" s="147"/>
    </row>
    <row r="137" spans="1:40" s="144" customFormat="1" x14ac:dyDescent="0.2">
      <c r="A137" s="113"/>
      <c r="B137" s="117"/>
      <c r="C137" s="117"/>
      <c r="D137" s="185"/>
      <c r="E137" s="186"/>
      <c r="F137" s="117"/>
      <c r="G137" s="187"/>
      <c r="N137" s="160" t="str">
        <f>B19</f>
        <v>Office - Fitness suite/gym (with changing facility and showers)</v>
      </c>
      <c r="O137" s="162">
        <f>IF(F19="Yes",VLOOKUP(B19,'Activity database'!A:BO,3,FALSE)*G18,0)</f>
        <v>0</v>
      </c>
      <c r="P137" s="190"/>
      <c r="Q137" s="144" t="s">
        <v>844</v>
      </c>
      <c r="R137" s="189"/>
      <c r="T137" s="179">
        <v>0.08</v>
      </c>
      <c r="AC137" s="146"/>
      <c r="AN137" s="147"/>
    </row>
    <row r="138" spans="1:40" s="144" customFormat="1" x14ac:dyDescent="0.2">
      <c r="A138" s="113"/>
      <c r="B138" s="117"/>
      <c r="C138" s="117"/>
      <c r="D138" s="191"/>
      <c r="E138" s="186"/>
      <c r="F138" s="117"/>
      <c r="G138" s="187"/>
      <c r="N138" s="160" t="s">
        <v>617</v>
      </c>
      <c r="O138" s="162">
        <f>SUM(O131:O137)</f>
        <v>0</v>
      </c>
      <c r="P138" s="190"/>
      <c r="R138" s="189"/>
      <c r="T138" s="179">
        <v>0.09</v>
      </c>
      <c r="AC138" s="146"/>
      <c r="AN138" s="147"/>
    </row>
    <row r="139" spans="1:40" s="144" customFormat="1" x14ac:dyDescent="0.2">
      <c r="A139" s="113"/>
      <c r="B139" s="117"/>
      <c r="C139" s="117"/>
      <c r="D139" s="191"/>
      <c r="E139" s="191"/>
      <c r="F139" s="117"/>
      <c r="G139" s="187"/>
      <c r="T139" s="179">
        <v>0.1</v>
      </c>
      <c r="AC139" s="146"/>
      <c r="AN139" s="147"/>
    </row>
    <row r="140" spans="1:40" s="144" customFormat="1" x14ac:dyDescent="0.2">
      <c r="A140" s="113"/>
      <c r="B140" s="117"/>
      <c r="C140" s="117"/>
      <c r="D140" s="192"/>
      <c r="E140" s="192"/>
      <c r="F140" s="192"/>
      <c r="G140" s="192"/>
      <c r="N140" s="155"/>
      <c r="R140" s="148"/>
      <c r="T140" s="179">
        <v>0.11</v>
      </c>
      <c r="AC140" s="146"/>
      <c r="AN140" s="147"/>
    </row>
    <row r="141" spans="1:40" s="144" customFormat="1" x14ac:dyDescent="0.2">
      <c r="A141" s="117"/>
      <c r="B141" s="117"/>
      <c r="C141" s="117"/>
      <c r="D141" s="193"/>
      <c r="E141" s="193"/>
      <c r="F141" s="193"/>
      <c r="G141" s="193"/>
      <c r="N141" s="148" t="s">
        <v>922</v>
      </c>
      <c r="O141" s="194"/>
      <c r="P141" s="194"/>
      <c r="R141" s="148"/>
      <c r="T141" s="179">
        <v>0.12</v>
      </c>
      <c r="AC141" s="146"/>
      <c r="AN141" s="147"/>
    </row>
    <row r="142" spans="1:40" s="144" customFormat="1" x14ac:dyDescent="0.2">
      <c r="A142" s="117"/>
      <c r="B142" s="117"/>
      <c r="C142" s="192"/>
      <c r="D142" s="192"/>
      <c r="E142" s="192"/>
      <c r="F142" s="192"/>
      <c r="G142" s="192"/>
      <c r="N142" s="148" t="s">
        <v>734</v>
      </c>
      <c r="O142" s="194"/>
      <c r="P142" s="194"/>
      <c r="R142" s="148"/>
      <c r="T142" s="179">
        <v>0.13</v>
      </c>
      <c r="AC142" s="146"/>
      <c r="AN142" s="147"/>
    </row>
    <row r="143" spans="1:40" s="144" customFormat="1" x14ac:dyDescent="0.2">
      <c r="A143" s="117"/>
      <c r="B143" s="117"/>
      <c r="C143" s="192"/>
      <c r="D143" s="192"/>
      <c r="E143" s="192"/>
      <c r="F143" s="192"/>
      <c r="G143" s="192"/>
      <c r="N143" s="148" t="s">
        <v>757</v>
      </c>
      <c r="O143" s="194"/>
      <c r="P143" s="194"/>
      <c r="R143" s="148"/>
      <c r="T143" s="179">
        <v>0.14000000000000001</v>
      </c>
      <c r="AC143" s="146"/>
      <c r="AN143" s="147"/>
    </row>
    <row r="144" spans="1:40" s="144" customFormat="1" x14ac:dyDescent="0.2">
      <c r="A144" s="117"/>
      <c r="B144" s="117"/>
      <c r="C144" s="193"/>
      <c r="D144" s="193"/>
      <c r="E144" s="193"/>
      <c r="F144" s="193"/>
      <c r="G144" s="193"/>
      <c r="N144" s="148" t="s">
        <v>758</v>
      </c>
      <c r="O144" s="194"/>
      <c r="P144" s="194"/>
      <c r="R144" s="148"/>
      <c r="T144" s="179">
        <v>0.15</v>
      </c>
      <c r="AC144" s="146"/>
      <c r="AN144" s="147"/>
    </row>
    <row r="145" spans="1:40" s="144" customFormat="1" x14ac:dyDescent="0.2">
      <c r="A145" s="117"/>
      <c r="B145" s="117"/>
      <c r="C145" s="117"/>
      <c r="D145" s="117"/>
      <c r="E145" s="117"/>
      <c r="F145" s="117"/>
      <c r="G145" s="187"/>
      <c r="N145" s="148"/>
      <c r="O145" s="195"/>
      <c r="P145" s="195"/>
      <c r="T145" s="179">
        <v>0.16</v>
      </c>
      <c r="AC145" s="146"/>
      <c r="AN145" s="147"/>
    </row>
    <row r="146" spans="1:40" s="144" customFormat="1" x14ac:dyDescent="0.2">
      <c r="A146" s="117"/>
      <c r="B146" s="117"/>
      <c r="C146" s="117"/>
      <c r="D146" s="117"/>
      <c r="E146" s="117"/>
      <c r="F146" s="117"/>
      <c r="G146" s="187"/>
      <c r="N146" s="148"/>
      <c r="O146" s="195"/>
      <c r="P146" s="195"/>
      <c r="R146" s="148"/>
      <c r="T146" s="179">
        <v>0.17</v>
      </c>
      <c r="AC146" s="146"/>
      <c r="AN146" s="147"/>
    </row>
    <row r="147" spans="1:40" s="144" customFormat="1" x14ac:dyDescent="0.2">
      <c r="A147" s="117"/>
      <c r="B147" s="117"/>
      <c r="C147" s="117"/>
      <c r="D147" s="117"/>
      <c r="E147" s="117"/>
      <c r="F147" s="117"/>
      <c r="G147" s="187"/>
      <c r="N147" s="148"/>
      <c r="O147" s="195"/>
      <c r="P147" s="195"/>
      <c r="R147" s="148"/>
      <c r="T147" s="179">
        <v>0.18</v>
      </c>
      <c r="AC147" s="146"/>
      <c r="AN147" s="147"/>
    </row>
    <row r="148" spans="1:40" s="144" customFormat="1" x14ac:dyDescent="0.2">
      <c r="A148" s="117"/>
      <c r="B148" s="117"/>
      <c r="C148" s="117"/>
      <c r="D148" s="193"/>
      <c r="E148" s="193"/>
      <c r="F148" s="193"/>
      <c r="G148" s="193"/>
      <c r="H148" s="155"/>
      <c r="N148" s="148"/>
      <c r="O148" s="195"/>
      <c r="P148" s="195"/>
      <c r="R148" s="148"/>
      <c r="T148" s="179">
        <v>0.19</v>
      </c>
      <c r="AC148" s="146"/>
      <c r="AN148" s="147"/>
    </row>
    <row r="149" spans="1:40" s="144" customFormat="1" x14ac:dyDescent="0.2">
      <c r="A149" s="117"/>
      <c r="B149" s="117"/>
      <c r="C149" s="117"/>
      <c r="D149" s="117"/>
      <c r="E149" s="117"/>
      <c r="F149" s="117"/>
      <c r="G149" s="187"/>
      <c r="N149" s="148"/>
      <c r="O149" s="195"/>
      <c r="P149" s="195"/>
      <c r="T149" s="179">
        <v>0.2</v>
      </c>
      <c r="AC149" s="146"/>
      <c r="AN149" s="147"/>
    </row>
    <row r="150" spans="1:40" s="144" customFormat="1" x14ac:dyDescent="0.2">
      <c r="A150" s="117"/>
      <c r="B150" s="117"/>
      <c r="C150" s="117"/>
      <c r="D150" s="117"/>
      <c r="E150" s="117"/>
      <c r="F150" s="117"/>
      <c r="G150" s="187"/>
      <c r="N150" s="148"/>
      <c r="O150" s="195"/>
      <c r="P150" s="195"/>
      <c r="T150" s="179">
        <v>0.21</v>
      </c>
      <c r="AC150" s="146"/>
      <c r="AN150" s="147"/>
    </row>
    <row r="151" spans="1:40" s="144" customFormat="1" x14ac:dyDescent="0.2">
      <c r="A151" s="117"/>
      <c r="B151" s="117"/>
      <c r="C151" s="117"/>
      <c r="D151" s="117"/>
      <c r="E151" s="117"/>
      <c r="F151" s="117"/>
      <c r="G151" s="187"/>
      <c r="N151" s="148"/>
      <c r="O151" s="195"/>
      <c r="P151" s="195"/>
      <c r="T151" s="179">
        <v>0.22</v>
      </c>
      <c r="AC151" s="146"/>
      <c r="AN151" s="147"/>
    </row>
    <row r="152" spans="1:40" s="144" customFormat="1" x14ac:dyDescent="0.2">
      <c r="A152" s="117"/>
      <c r="B152" s="117"/>
      <c r="C152" s="117"/>
      <c r="D152" s="117"/>
      <c r="E152" s="117"/>
      <c r="F152" s="117"/>
      <c r="G152" s="187"/>
      <c r="N152" s="148"/>
      <c r="O152" s="194"/>
      <c r="P152" s="194"/>
      <c r="T152" s="179">
        <v>0.23</v>
      </c>
      <c r="AC152" s="146"/>
      <c r="AN152" s="147"/>
    </row>
    <row r="153" spans="1:40" s="144" customFormat="1" x14ac:dyDescent="0.2">
      <c r="A153" s="117"/>
      <c r="B153" s="117"/>
      <c r="C153" s="117"/>
      <c r="D153" s="117"/>
      <c r="E153" s="117"/>
      <c r="F153" s="117"/>
      <c r="G153" s="187"/>
      <c r="N153" s="148"/>
      <c r="O153" s="194"/>
      <c r="P153" s="194"/>
      <c r="T153" s="179">
        <v>0.24</v>
      </c>
      <c r="AC153" s="146"/>
      <c r="AN153" s="147"/>
    </row>
    <row r="154" spans="1:40" s="144" customFormat="1" x14ac:dyDescent="0.2">
      <c r="A154" s="117"/>
      <c r="B154" s="117"/>
      <c r="C154" s="117"/>
      <c r="D154" s="117"/>
      <c r="E154" s="117"/>
      <c r="F154" s="117"/>
      <c r="G154" s="187"/>
      <c r="N154" s="148"/>
      <c r="O154" s="194"/>
      <c r="P154" s="194"/>
      <c r="T154" s="179">
        <v>0.25</v>
      </c>
      <c r="AC154" s="146"/>
      <c r="AN154" s="147"/>
    </row>
    <row r="155" spans="1:40" s="144" customFormat="1" x14ac:dyDescent="0.2">
      <c r="A155" s="117"/>
      <c r="B155" s="117"/>
      <c r="C155" s="117"/>
      <c r="D155" s="117"/>
      <c r="E155" s="117"/>
      <c r="F155" s="117"/>
      <c r="G155" s="187"/>
      <c r="N155" s="148"/>
      <c r="O155" s="195"/>
      <c r="P155" s="195"/>
      <c r="T155" s="179">
        <v>0.26</v>
      </c>
      <c r="AC155" s="146"/>
      <c r="AN155" s="147"/>
    </row>
    <row r="156" spans="1:40" s="144" customFormat="1" x14ac:dyDescent="0.2">
      <c r="A156" s="117"/>
      <c r="B156" s="117"/>
      <c r="C156" s="117"/>
      <c r="D156" s="117"/>
      <c r="E156" s="117"/>
      <c r="F156" s="117"/>
      <c r="G156" s="187"/>
      <c r="N156" s="148"/>
      <c r="O156" s="194"/>
      <c r="P156" s="194"/>
      <c r="T156" s="179">
        <v>0.27</v>
      </c>
      <c r="AC156" s="146"/>
      <c r="AN156" s="147"/>
    </row>
    <row r="157" spans="1:40" s="144" customFormat="1" x14ac:dyDescent="0.2">
      <c r="A157" s="117"/>
      <c r="B157" s="117"/>
      <c r="C157" s="117"/>
      <c r="D157" s="117"/>
      <c r="E157" s="117"/>
      <c r="F157" s="117"/>
      <c r="G157" s="187"/>
      <c r="N157" s="148"/>
      <c r="O157" s="195"/>
      <c r="P157" s="195"/>
      <c r="T157" s="179">
        <v>0.28000000000000003</v>
      </c>
      <c r="AC157" s="146"/>
      <c r="AN157" s="147"/>
    </row>
    <row r="158" spans="1:40" s="144" customFormat="1" x14ac:dyDescent="0.2">
      <c r="A158" s="117"/>
      <c r="B158" s="117"/>
      <c r="C158" s="117"/>
      <c r="D158" s="117"/>
      <c r="E158" s="117"/>
      <c r="F158" s="117"/>
      <c r="G158" s="187"/>
      <c r="N158" s="148"/>
      <c r="O158" s="195"/>
      <c r="P158" s="195"/>
      <c r="T158" s="179">
        <v>0.28999999999999998</v>
      </c>
      <c r="AC158" s="146"/>
      <c r="AN158" s="147"/>
    </row>
    <row r="159" spans="1:40" s="144" customFormat="1" x14ac:dyDescent="0.2">
      <c r="A159" s="117"/>
      <c r="B159" s="117"/>
      <c r="C159" s="117"/>
      <c r="D159" s="117"/>
      <c r="E159" s="117"/>
      <c r="F159" s="117"/>
      <c r="G159" s="187"/>
      <c r="N159" s="148"/>
      <c r="O159" s="194"/>
      <c r="P159" s="194"/>
      <c r="T159" s="179">
        <v>0.3</v>
      </c>
      <c r="AC159" s="146"/>
      <c r="AN159" s="147"/>
    </row>
    <row r="160" spans="1:40" s="144" customFormat="1" x14ac:dyDescent="0.2">
      <c r="A160" s="117"/>
      <c r="B160" s="117"/>
      <c r="C160" s="117"/>
      <c r="D160" s="117"/>
      <c r="E160" s="117"/>
      <c r="F160" s="117"/>
      <c r="G160" s="187"/>
      <c r="N160" s="148"/>
      <c r="O160" s="195"/>
      <c r="P160" s="195"/>
      <c r="T160" s="179">
        <v>0.31</v>
      </c>
      <c r="AC160" s="146"/>
      <c r="AN160" s="147"/>
    </row>
    <row r="161" spans="1:40" s="144" customFormat="1" x14ac:dyDescent="0.2">
      <c r="A161" s="117"/>
      <c r="B161" s="117"/>
      <c r="C161" s="117"/>
      <c r="D161" s="117"/>
      <c r="E161" s="117"/>
      <c r="F161" s="117"/>
      <c r="G161" s="187"/>
      <c r="N161" s="148"/>
      <c r="O161" s="195"/>
      <c r="P161" s="195"/>
      <c r="T161" s="179">
        <v>0.32</v>
      </c>
      <c r="AC161" s="146"/>
      <c r="AN161" s="147"/>
    </row>
    <row r="162" spans="1:40" s="144" customFormat="1" x14ac:dyDescent="0.2">
      <c r="A162" s="117"/>
      <c r="B162" s="117"/>
      <c r="C162" s="117"/>
      <c r="D162" s="117"/>
      <c r="E162" s="117"/>
      <c r="F162" s="117"/>
      <c r="G162" s="187"/>
      <c r="N162" s="146"/>
      <c r="O162" s="195"/>
      <c r="P162" s="195"/>
      <c r="T162" s="179">
        <v>0.33</v>
      </c>
      <c r="AC162" s="146"/>
      <c r="AN162" s="147"/>
    </row>
    <row r="163" spans="1:40" s="144" customFormat="1" x14ac:dyDescent="0.2">
      <c r="A163" s="117"/>
      <c r="B163" s="117"/>
      <c r="C163" s="117"/>
      <c r="D163" s="117"/>
      <c r="E163" s="117"/>
      <c r="F163" s="117"/>
      <c r="G163" s="187"/>
      <c r="N163" s="148"/>
      <c r="O163" s="195"/>
      <c r="P163" s="195"/>
      <c r="T163" s="179">
        <v>0.34</v>
      </c>
      <c r="AC163" s="146"/>
      <c r="AN163" s="147"/>
    </row>
    <row r="164" spans="1:40" s="144" customFormat="1" x14ac:dyDescent="0.2">
      <c r="A164" s="117"/>
      <c r="B164" s="117"/>
      <c r="C164" s="117"/>
      <c r="D164" s="117"/>
      <c r="E164" s="117"/>
      <c r="F164" s="117"/>
      <c r="G164" s="187"/>
      <c r="N164" s="148"/>
      <c r="O164" s="194"/>
      <c r="P164" s="194"/>
      <c r="T164" s="179">
        <v>0.35</v>
      </c>
      <c r="AC164" s="146"/>
      <c r="AN164" s="147"/>
    </row>
    <row r="165" spans="1:40" s="144" customFormat="1" x14ac:dyDescent="0.2">
      <c r="A165" s="117"/>
      <c r="B165" s="117"/>
      <c r="C165" s="117"/>
      <c r="D165" s="117"/>
      <c r="E165" s="117"/>
      <c r="F165" s="117"/>
      <c r="G165" s="187"/>
      <c r="N165" s="148"/>
      <c r="O165" s="195"/>
      <c r="P165" s="195"/>
      <c r="T165" s="179">
        <v>0.36</v>
      </c>
      <c r="AC165" s="146"/>
      <c r="AN165" s="147"/>
    </row>
    <row r="166" spans="1:40" s="144" customFormat="1" x14ac:dyDescent="0.2">
      <c r="A166" s="117"/>
      <c r="B166" s="117"/>
      <c r="C166" s="117"/>
      <c r="D166" s="117"/>
      <c r="E166" s="117"/>
      <c r="F166" s="117"/>
      <c r="G166" s="187"/>
      <c r="N166" s="148"/>
      <c r="O166" s="195"/>
      <c r="P166" s="195"/>
      <c r="T166" s="179">
        <v>0.37</v>
      </c>
      <c r="AC166" s="146"/>
      <c r="AN166" s="147"/>
    </row>
    <row r="167" spans="1:40" s="144" customFormat="1" x14ac:dyDescent="0.2">
      <c r="A167" s="117"/>
      <c r="B167" s="117"/>
      <c r="C167" s="117"/>
      <c r="D167" s="117"/>
      <c r="E167" s="117"/>
      <c r="F167" s="117"/>
      <c r="G167" s="187"/>
      <c r="N167" s="148"/>
      <c r="O167" s="195"/>
      <c r="P167" s="195"/>
      <c r="T167" s="179">
        <v>0.38</v>
      </c>
      <c r="AC167" s="146"/>
      <c r="AN167" s="147"/>
    </row>
    <row r="168" spans="1:40" s="144" customFormat="1" x14ac:dyDescent="0.2">
      <c r="A168" s="117"/>
      <c r="B168" s="117"/>
      <c r="C168" s="117"/>
      <c r="D168" s="117"/>
      <c r="E168" s="117"/>
      <c r="F168" s="117"/>
      <c r="G168" s="187"/>
      <c r="N168" s="148"/>
      <c r="O168" s="195"/>
      <c r="P168" s="195"/>
      <c r="T168" s="179">
        <v>0.39</v>
      </c>
      <c r="AC168" s="146"/>
      <c r="AN168" s="147"/>
    </row>
    <row r="169" spans="1:40" s="144" customFormat="1" x14ac:dyDescent="0.2">
      <c r="A169" s="117"/>
      <c r="B169" s="117"/>
      <c r="C169" s="117"/>
      <c r="D169" s="117"/>
      <c r="E169" s="117"/>
      <c r="F169" s="117"/>
      <c r="G169" s="187"/>
      <c r="N169" s="148"/>
      <c r="O169" s="195"/>
      <c r="P169" s="195"/>
      <c r="T169" s="179">
        <v>0.4</v>
      </c>
      <c r="AC169" s="146"/>
      <c r="AN169" s="147"/>
    </row>
    <row r="170" spans="1:40" s="144" customFormat="1" x14ac:dyDescent="0.2">
      <c r="A170" s="117"/>
      <c r="B170" s="117"/>
      <c r="C170" s="117"/>
      <c r="D170" s="117"/>
      <c r="E170" s="117"/>
      <c r="F170" s="117"/>
      <c r="G170" s="187"/>
      <c r="N170" s="148"/>
      <c r="O170" s="195"/>
      <c r="P170" s="195"/>
      <c r="T170" s="179">
        <v>0.41</v>
      </c>
      <c r="AC170" s="146"/>
      <c r="AN170" s="147"/>
    </row>
    <row r="171" spans="1:40" s="144" customFormat="1" x14ac:dyDescent="0.2">
      <c r="A171" s="117"/>
      <c r="B171" s="117"/>
      <c r="C171" s="117"/>
      <c r="D171" s="117"/>
      <c r="E171" s="117"/>
      <c r="F171" s="117"/>
      <c r="G171" s="187"/>
      <c r="N171" s="148"/>
      <c r="O171" s="195"/>
      <c r="P171" s="195"/>
      <c r="T171" s="179">
        <v>0.42</v>
      </c>
      <c r="AC171" s="146"/>
      <c r="AN171" s="147"/>
    </row>
    <row r="172" spans="1:40" s="144" customFormat="1" x14ac:dyDescent="0.2">
      <c r="A172" s="117"/>
      <c r="B172" s="117"/>
      <c r="C172" s="117"/>
      <c r="D172" s="117"/>
      <c r="E172" s="117"/>
      <c r="F172" s="117"/>
      <c r="G172" s="187"/>
      <c r="N172" s="148"/>
      <c r="O172" s="195"/>
      <c r="P172" s="195"/>
      <c r="T172" s="179">
        <v>0.43</v>
      </c>
      <c r="AC172" s="146"/>
      <c r="AN172" s="147"/>
    </row>
    <row r="173" spans="1:40" s="144" customFormat="1" x14ac:dyDescent="0.2">
      <c r="A173" s="117"/>
      <c r="B173" s="117"/>
      <c r="C173" s="117"/>
      <c r="D173" s="117"/>
      <c r="E173" s="117"/>
      <c r="F173" s="117"/>
      <c r="G173" s="187"/>
      <c r="N173" s="148"/>
      <c r="O173" s="195"/>
      <c r="P173" s="195"/>
      <c r="T173" s="179">
        <v>0.44</v>
      </c>
      <c r="AC173" s="146"/>
      <c r="AN173" s="147"/>
    </row>
    <row r="174" spans="1:40" s="144" customFormat="1" x14ac:dyDescent="0.2">
      <c r="A174" s="117"/>
      <c r="B174" s="117"/>
      <c r="C174" s="117"/>
      <c r="D174" s="117"/>
      <c r="E174" s="117"/>
      <c r="F174" s="117"/>
      <c r="G174" s="187"/>
      <c r="N174" s="148"/>
      <c r="O174" s="195"/>
      <c r="P174" s="195"/>
      <c r="T174" s="179">
        <v>0.45</v>
      </c>
      <c r="AC174" s="146"/>
      <c r="AN174" s="147"/>
    </row>
    <row r="175" spans="1:40" s="144" customFormat="1" x14ac:dyDescent="0.2">
      <c r="A175" s="117"/>
      <c r="B175" s="117"/>
      <c r="C175" s="117"/>
      <c r="D175" s="117"/>
      <c r="E175" s="117"/>
      <c r="F175" s="117"/>
      <c r="G175" s="187"/>
      <c r="N175" s="148"/>
      <c r="O175" s="195"/>
      <c r="P175" s="195"/>
      <c r="T175" s="179">
        <v>0.46</v>
      </c>
      <c r="AC175" s="146"/>
      <c r="AN175" s="147"/>
    </row>
    <row r="176" spans="1:40" s="144" customFormat="1" x14ac:dyDescent="0.2">
      <c r="A176" s="117"/>
      <c r="B176" s="117"/>
      <c r="C176" s="117"/>
      <c r="D176" s="117"/>
      <c r="E176" s="117"/>
      <c r="F176" s="117"/>
      <c r="G176" s="187"/>
      <c r="N176" s="148"/>
      <c r="O176" s="195"/>
      <c r="P176" s="195"/>
      <c r="T176" s="179">
        <v>0.47</v>
      </c>
      <c r="AC176" s="146"/>
      <c r="AN176" s="147"/>
    </row>
    <row r="177" spans="1:40" s="144" customFormat="1" x14ac:dyDescent="0.2">
      <c r="A177" s="117"/>
      <c r="B177" s="117"/>
      <c r="C177" s="117"/>
      <c r="D177" s="117"/>
      <c r="E177" s="117"/>
      <c r="F177" s="117"/>
      <c r="G177" s="187"/>
      <c r="N177" s="148"/>
      <c r="O177" s="195"/>
      <c r="P177" s="195"/>
      <c r="T177" s="179">
        <v>0.48</v>
      </c>
      <c r="AC177" s="146"/>
      <c r="AN177" s="147"/>
    </row>
    <row r="178" spans="1:40" s="144" customFormat="1" x14ac:dyDescent="0.2">
      <c r="A178" s="117"/>
      <c r="B178" s="117"/>
      <c r="C178" s="117"/>
      <c r="D178" s="117"/>
      <c r="E178" s="117"/>
      <c r="F178" s="117"/>
      <c r="G178" s="187"/>
      <c r="N178" s="148"/>
      <c r="O178" s="195"/>
      <c r="P178" s="195"/>
      <c r="T178" s="179">
        <v>0.49</v>
      </c>
      <c r="AC178" s="146"/>
      <c r="AN178" s="147"/>
    </row>
    <row r="179" spans="1:40" s="144" customFormat="1" x14ac:dyDescent="0.2">
      <c r="A179" s="117"/>
      <c r="B179" s="117"/>
      <c r="C179" s="117"/>
      <c r="D179" s="117"/>
      <c r="E179" s="117"/>
      <c r="F179" s="117"/>
      <c r="G179" s="187"/>
      <c r="N179" s="148"/>
      <c r="O179" s="195"/>
      <c r="P179" s="195"/>
      <c r="T179" s="179">
        <v>0.5</v>
      </c>
      <c r="AC179" s="146"/>
      <c r="AN179" s="147"/>
    </row>
    <row r="180" spans="1:40" s="144" customFormat="1" x14ac:dyDescent="0.2">
      <c r="A180" s="117"/>
      <c r="B180" s="117"/>
      <c r="C180" s="117"/>
      <c r="D180" s="117"/>
      <c r="E180" s="117"/>
      <c r="F180" s="117"/>
      <c r="G180" s="187"/>
      <c r="N180" s="148"/>
      <c r="O180" s="195"/>
      <c r="P180" s="195"/>
      <c r="T180" s="179">
        <v>0.51</v>
      </c>
      <c r="AC180" s="146"/>
      <c r="AN180" s="147"/>
    </row>
    <row r="181" spans="1:40" s="144" customFormat="1" x14ac:dyDescent="0.2">
      <c r="A181" s="117"/>
      <c r="B181" s="117"/>
      <c r="C181" s="117"/>
      <c r="D181" s="117"/>
      <c r="E181" s="117"/>
      <c r="F181" s="117"/>
      <c r="G181" s="187"/>
      <c r="N181" s="148"/>
      <c r="O181" s="195"/>
      <c r="P181" s="195"/>
      <c r="T181" s="179">
        <v>0.52</v>
      </c>
      <c r="AC181" s="146"/>
      <c r="AN181" s="147"/>
    </row>
    <row r="182" spans="1:40" s="144" customFormat="1" x14ac:dyDescent="0.2">
      <c r="A182" s="117"/>
      <c r="B182" s="117"/>
      <c r="C182" s="117"/>
      <c r="D182" s="117"/>
      <c r="E182" s="117"/>
      <c r="F182" s="117"/>
      <c r="G182" s="187"/>
      <c r="N182" s="148"/>
      <c r="O182" s="195"/>
      <c r="P182" s="195"/>
      <c r="T182" s="179">
        <v>0.53</v>
      </c>
      <c r="AC182" s="146"/>
      <c r="AN182" s="147"/>
    </row>
    <row r="183" spans="1:40" s="144" customFormat="1" x14ac:dyDescent="0.2">
      <c r="A183" s="117"/>
      <c r="B183" s="117"/>
      <c r="C183" s="117"/>
      <c r="D183" s="117"/>
      <c r="E183" s="117"/>
      <c r="F183" s="117"/>
      <c r="G183" s="187"/>
      <c r="N183" s="148"/>
      <c r="O183" s="195"/>
      <c r="P183" s="195"/>
      <c r="T183" s="179">
        <v>0.54</v>
      </c>
      <c r="AC183" s="146"/>
      <c r="AN183" s="147"/>
    </row>
    <row r="184" spans="1:40" s="144" customFormat="1" x14ac:dyDescent="0.2">
      <c r="A184" s="117"/>
      <c r="B184" s="117"/>
      <c r="C184" s="117"/>
      <c r="D184" s="117"/>
      <c r="E184" s="117"/>
      <c r="F184" s="117"/>
      <c r="G184" s="187"/>
      <c r="N184" s="148"/>
      <c r="O184" s="195"/>
      <c r="P184" s="195"/>
      <c r="T184" s="179">
        <v>0.55000000000000004</v>
      </c>
      <c r="AC184" s="146"/>
      <c r="AN184" s="147"/>
    </row>
    <row r="185" spans="1:40" s="144" customFormat="1" x14ac:dyDescent="0.2">
      <c r="A185" s="117"/>
      <c r="B185" s="117"/>
      <c r="C185" s="117"/>
      <c r="D185" s="117"/>
      <c r="E185" s="117"/>
      <c r="F185" s="117"/>
      <c r="G185" s="187"/>
      <c r="N185" s="148"/>
      <c r="O185" s="195"/>
      <c r="P185" s="195"/>
      <c r="T185" s="179">
        <v>0.56000000000000005</v>
      </c>
      <c r="AC185" s="146"/>
      <c r="AN185" s="147"/>
    </row>
    <row r="186" spans="1:40" s="144" customFormat="1" x14ac:dyDescent="0.2">
      <c r="A186" s="117"/>
      <c r="B186" s="117"/>
      <c r="C186" s="117"/>
      <c r="D186" s="117"/>
      <c r="E186" s="117"/>
      <c r="F186" s="117"/>
      <c r="G186" s="187"/>
      <c r="N186" s="148"/>
      <c r="O186" s="195"/>
      <c r="P186" s="195"/>
      <c r="T186" s="179">
        <v>0.56999999999999995</v>
      </c>
      <c r="AC186" s="146"/>
      <c r="AN186" s="147"/>
    </row>
    <row r="187" spans="1:40" s="144" customFormat="1" x14ac:dyDescent="0.2">
      <c r="A187" s="117"/>
      <c r="B187" s="117"/>
      <c r="C187" s="117"/>
      <c r="D187" s="117"/>
      <c r="E187" s="117"/>
      <c r="F187" s="117"/>
      <c r="G187" s="187"/>
      <c r="N187" s="148"/>
      <c r="O187" s="195"/>
      <c r="P187" s="195"/>
      <c r="T187" s="179">
        <v>0.57999999999999996</v>
      </c>
      <c r="AC187" s="146"/>
      <c r="AN187" s="147"/>
    </row>
    <row r="188" spans="1:40" x14ac:dyDescent="0.2">
      <c r="N188" s="113"/>
      <c r="O188" s="297"/>
      <c r="P188" s="297"/>
      <c r="T188" s="298">
        <v>0.59</v>
      </c>
    </row>
    <row r="189" spans="1:40" x14ac:dyDescent="0.2">
      <c r="N189" s="113"/>
      <c r="O189" s="297"/>
      <c r="P189" s="297"/>
      <c r="T189" s="298">
        <v>0.6</v>
      </c>
    </row>
    <row r="190" spans="1:40" x14ac:dyDescent="0.2">
      <c r="N190" s="113"/>
      <c r="O190" s="297"/>
      <c r="P190" s="297"/>
      <c r="T190" s="298">
        <v>0.61</v>
      </c>
    </row>
    <row r="191" spans="1:40" x14ac:dyDescent="0.2">
      <c r="N191" s="113"/>
      <c r="O191" s="297"/>
      <c r="P191" s="297"/>
      <c r="T191" s="298">
        <v>0.62</v>
      </c>
    </row>
    <row r="192" spans="1:40" x14ac:dyDescent="0.2">
      <c r="N192" s="113"/>
      <c r="O192" s="297"/>
      <c r="P192" s="297"/>
      <c r="T192" s="298">
        <v>0.63</v>
      </c>
    </row>
    <row r="193" spans="14:20" x14ac:dyDescent="0.2">
      <c r="N193" s="113"/>
      <c r="O193" s="297"/>
      <c r="P193" s="297"/>
      <c r="T193" s="298">
        <v>0.64</v>
      </c>
    </row>
    <row r="194" spans="14:20" x14ac:dyDescent="0.2">
      <c r="N194" s="113"/>
      <c r="O194" s="297"/>
      <c r="P194" s="297"/>
      <c r="T194" s="298">
        <v>0.65</v>
      </c>
    </row>
    <row r="195" spans="14:20" x14ac:dyDescent="0.2">
      <c r="N195" s="113"/>
      <c r="O195" s="297"/>
      <c r="P195" s="297"/>
      <c r="T195" s="298">
        <v>0.66</v>
      </c>
    </row>
    <row r="196" spans="14:20" x14ac:dyDescent="0.2">
      <c r="N196" s="113"/>
      <c r="O196" s="297"/>
      <c r="P196" s="297"/>
      <c r="T196" s="298">
        <v>0.67</v>
      </c>
    </row>
    <row r="197" spans="14:20" x14ac:dyDescent="0.2">
      <c r="N197" s="113"/>
      <c r="O197" s="297"/>
      <c r="P197" s="297"/>
      <c r="T197" s="298">
        <v>0.68</v>
      </c>
    </row>
    <row r="198" spans="14:20" x14ac:dyDescent="0.2">
      <c r="N198" s="113"/>
      <c r="O198" s="297"/>
      <c r="P198" s="297"/>
      <c r="T198" s="298">
        <v>0.69</v>
      </c>
    </row>
    <row r="199" spans="14:20" x14ac:dyDescent="0.2">
      <c r="N199" s="113"/>
      <c r="O199" s="297"/>
      <c r="P199" s="297"/>
      <c r="T199" s="298">
        <v>0.7</v>
      </c>
    </row>
    <row r="200" spans="14:20" x14ac:dyDescent="0.2">
      <c r="N200" s="113"/>
      <c r="O200" s="297"/>
      <c r="P200" s="297"/>
      <c r="T200" s="298">
        <v>0.71</v>
      </c>
    </row>
    <row r="201" spans="14:20" x14ac:dyDescent="0.2">
      <c r="N201" s="301"/>
      <c r="O201" s="297"/>
      <c r="P201" s="297"/>
      <c r="T201" s="298">
        <v>0.72</v>
      </c>
    </row>
    <row r="202" spans="14:20" x14ac:dyDescent="0.2">
      <c r="N202" s="301"/>
      <c r="O202" s="297"/>
      <c r="P202" s="297"/>
      <c r="T202" s="298">
        <v>0.73</v>
      </c>
    </row>
    <row r="203" spans="14:20" x14ac:dyDescent="0.2">
      <c r="N203" s="301"/>
      <c r="O203" s="297"/>
      <c r="P203" s="297"/>
      <c r="T203" s="298">
        <v>0.74</v>
      </c>
    </row>
    <row r="204" spans="14:20" x14ac:dyDescent="0.2">
      <c r="N204" s="301"/>
      <c r="O204" s="297"/>
      <c r="P204" s="297"/>
      <c r="T204" s="298">
        <v>0.75</v>
      </c>
    </row>
    <row r="205" spans="14:20" x14ac:dyDescent="0.2">
      <c r="N205" s="301"/>
      <c r="O205" s="297"/>
      <c r="P205" s="297"/>
      <c r="T205" s="298">
        <v>0.76</v>
      </c>
    </row>
    <row r="206" spans="14:20" x14ac:dyDescent="0.2">
      <c r="N206" s="301"/>
      <c r="T206" s="298">
        <v>0.77</v>
      </c>
    </row>
    <row r="207" spans="14:20" x14ac:dyDescent="0.2">
      <c r="N207" s="301"/>
      <c r="T207" s="298">
        <v>0.78</v>
      </c>
    </row>
    <row r="208" spans="14:20" x14ac:dyDescent="0.2">
      <c r="N208" s="299"/>
      <c r="T208" s="298">
        <v>0.79</v>
      </c>
    </row>
    <row r="209" spans="14:20" x14ac:dyDescent="0.2">
      <c r="N209" s="299"/>
      <c r="T209" s="298">
        <v>0.8</v>
      </c>
    </row>
    <row r="210" spans="14:20" x14ac:dyDescent="0.2">
      <c r="N210" s="299"/>
      <c r="T210" s="298">
        <v>0.81</v>
      </c>
    </row>
    <row r="211" spans="14:20" x14ac:dyDescent="0.2">
      <c r="N211" s="299"/>
      <c r="T211" s="298">
        <v>0.82</v>
      </c>
    </row>
    <row r="212" spans="14:20" x14ac:dyDescent="0.2">
      <c r="N212" s="299"/>
      <c r="T212" s="298">
        <v>0.83</v>
      </c>
    </row>
    <row r="213" spans="14:20" x14ac:dyDescent="0.2">
      <c r="N213" s="299"/>
      <c r="T213" s="298">
        <v>0.84</v>
      </c>
    </row>
    <row r="214" spans="14:20" x14ac:dyDescent="0.2">
      <c r="N214" s="299"/>
      <c r="T214" s="298">
        <v>0.85</v>
      </c>
    </row>
    <row r="215" spans="14:20" x14ac:dyDescent="0.2">
      <c r="N215" s="299"/>
      <c r="T215" s="298">
        <v>0.86</v>
      </c>
    </row>
    <row r="216" spans="14:20" x14ac:dyDescent="0.2">
      <c r="N216" s="299"/>
      <c r="T216" s="298">
        <v>0.87</v>
      </c>
    </row>
    <row r="217" spans="14:20" x14ac:dyDescent="0.2">
      <c r="N217" s="299"/>
      <c r="T217" s="298">
        <v>0.88</v>
      </c>
    </row>
    <row r="218" spans="14:20" x14ac:dyDescent="0.2">
      <c r="N218" s="299"/>
      <c r="T218" s="298">
        <v>0.89</v>
      </c>
    </row>
    <row r="219" spans="14:20" x14ac:dyDescent="0.2">
      <c r="N219" s="299"/>
      <c r="T219" s="298">
        <v>0.9</v>
      </c>
    </row>
    <row r="220" spans="14:20" x14ac:dyDescent="0.2">
      <c r="N220" s="299"/>
      <c r="T220" s="298">
        <v>0.91</v>
      </c>
    </row>
    <row r="221" spans="14:20" x14ac:dyDescent="0.2">
      <c r="N221" s="299"/>
      <c r="T221" s="298">
        <v>0.92</v>
      </c>
    </row>
    <row r="222" spans="14:20" x14ac:dyDescent="0.2">
      <c r="N222" s="299"/>
      <c r="T222" s="298">
        <v>0.93</v>
      </c>
    </row>
    <row r="223" spans="14:20" x14ac:dyDescent="0.2">
      <c r="N223" s="299"/>
      <c r="T223" s="298">
        <v>0.94</v>
      </c>
    </row>
    <row r="224" spans="14:20" x14ac:dyDescent="0.2">
      <c r="N224" s="299"/>
      <c r="T224" s="298">
        <v>0.95</v>
      </c>
    </row>
    <row r="225" spans="14:20" x14ac:dyDescent="0.2">
      <c r="N225" s="299"/>
      <c r="T225" s="298">
        <v>0.96</v>
      </c>
    </row>
    <row r="226" spans="14:20" x14ac:dyDescent="0.2">
      <c r="N226" s="299"/>
      <c r="T226" s="298">
        <v>0.97</v>
      </c>
    </row>
    <row r="227" spans="14:20" x14ac:dyDescent="0.2">
      <c r="N227" s="299"/>
      <c r="T227" s="298">
        <v>0.98</v>
      </c>
    </row>
    <row r="228" spans="14:20" x14ac:dyDescent="0.2">
      <c r="N228" s="299"/>
      <c r="T228" s="298">
        <v>0.99</v>
      </c>
    </row>
    <row r="229" spans="14:20" x14ac:dyDescent="0.2">
      <c r="N229" s="299"/>
      <c r="T229" s="298">
        <v>1</v>
      </c>
    </row>
    <row r="230" spans="14:20" x14ac:dyDescent="0.2">
      <c r="N230" s="299"/>
    </row>
    <row r="231" spans="14:20" x14ac:dyDescent="0.2">
      <c r="N231" s="299"/>
    </row>
    <row r="232" spans="14:20" x14ac:dyDescent="0.2">
      <c r="N232" s="299"/>
    </row>
    <row r="233" spans="14:20" x14ac:dyDescent="0.2">
      <c r="N233" s="299"/>
    </row>
    <row r="234" spans="14:20" x14ac:dyDescent="0.2">
      <c r="N234" s="299"/>
    </row>
    <row r="235" spans="14:20" x14ac:dyDescent="0.2">
      <c r="N235" s="299"/>
    </row>
    <row r="236" spans="14:20" x14ac:dyDescent="0.2">
      <c r="N236" s="299"/>
    </row>
    <row r="237" spans="14:20" x14ac:dyDescent="0.2">
      <c r="N237" s="299"/>
    </row>
    <row r="238" spans="14:20" x14ac:dyDescent="0.2">
      <c r="N238" s="299"/>
    </row>
    <row r="239" spans="14:20" x14ac:dyDescent="0.2">
      <c r="N239" s="299"/>
    </row>
    <row r="240" spans="14:20" x14ac:dyDescent="0.2">
      <c r="N240" s="299"/>
    </row>
    <row r="241" spans="14:14" x14ac:dyDescent="0.2">
      <c r="N241" s="299"/>
    </row>
    <row r="242" spans="14:14" x14ac:dyDescent="0.2">
      <c r="N242" s="299"/>
    </row>
    <row r="243" spans="14:14" x14ac:dyDescent="0.2">
      <c r="N243" s="299"/>
    </row>
    <row r="244" spans="14:14" x14ac:dyDescent="0.2">
      <c r="N244" s="299"/>
    </row>
    <row r="245" spans="14:14" x14ac:dyDescent="0.2">
      <c r="N245" s="299"/>
    </row>
    <row r="246" spans="14:14" x14ac:dyDescent="0.2">
      <c r="N246" s="299"/>
    </row>
    <row r="247" spans="14:14" x14ac:dyDescent="0.2">
      <c r="N247" s="299"/>
    </row>
    <row r="248" spans="14:14" x14ac:dyDescent="0.2">
      <c r="N248" s="299"/>
    </row>
    <row r="249" spans="14:14" x14ac:dyDescent="0.2">
      <c r="N249" s="299"/>
    </row>
    <row r="250" spans="14:14" x14ac:dyDescent="0.2">
      <c r="N250" s="299"/>
    </row>
    <row r="251" spans="14:14" x14ac:dyDescent="0.2">
      <c r="N251" s="299"/>
    </row>
    <row r="252" spans="14:14" x14ac:dyDescent="0.2">
      <c r="N252" s="299"/>
    </row>
    <row r="253" spans="14:14" x14ac:dyDescent="0.2">
      <c r="N253" s="299"/>
    </row>
    <row r="254" spans="14:14" x14ac:dyDescent="0.2">
      <c r="N254" s="299"/>
    </row>
    <row r="255" spans="14:14" x14ac:dyDescent="0.2">
      <c r="N255" s="299"/>
    </row>
  </sheetData>
  <sheetProtection algorithmName="SHA-512" hashValue="Y4V20zhVG/ZdcPM1wHp5358pOcLe1n2A+03e/+5mH9yWaDY3Rp/HPRMCDI8f8nkDZ9j4CqVH9zVwPs9KcA4tVA==" saltValue="Hhm6AWJHibP2OXKmAZW5vA==" spinCount="100000" sheet="1" objects="1" scenarios="1"/>
  <mergeCells count="20">
    <mergeCell ref="H72:M74"/>
    <mergeCell ref="B28:B29"/>
    <mergeCell ref="B31:B32"/>
    <mergeCell ref="B34:B35"/>
    <mergeCell ref="J8:M12"/>
    <mergeCell ref="H31:M33"/>
    <mergeCell ref="C13:D13"/>
    <mergeCell ref="H15:O16"/>
    <mergeCell ref="C16:E16"/>
    <mergeCell ref="C17:E17"/>
    <mergeCell ref="C10:D10"/>
    <mergeCell ref="C6:D6"/>
    <mergeCell ref="C8:D8"/>
    <mergeCell ref="H56:M59"/>
    <mergeCell ref="H34:M37"/>
    <mergeCell ref="H25:M27"/>
    <mergeCell ref="C18:E18"/>
    <mergeCell ref="H18:O18"/>
    <mergeCell ref="H19:O19"/>
    <mergeCell ref="C19:E19"/>
  </mergeCells>
  <phoneticPr fontId="7" type="noConversion"/>
  <conditionalFormatting sqref="C47:D47 B39:B44 B46:B47">
    <cfRule type="expression" dxfId="834" priority="507" stopIfTrue="1">
      <formula>E39="n/a"</formula>
    </cfRule>
  </conditionalFormatting>
  <conditionalFormatting sqref="G47 C39:C44 C46 N46:N47">
    <cfRule type="expression" dxfId="833" priority="508" stopIfTrue="1">
      <formula>E39="n/a"</formula>
    </cfRule>
  </conditionalFormatting>
  <conditionalFormatting sqref="D46 D39:D44">
    <cfRule type="expression" dxfId="832" priority="509" stopIfTrue="1">
      <formula>E39="n/a"</formula>
    </cfRule>
  </conditionalFormatting>
  <conditionalFormatting sqref="G39:G44 G46">
    <cfRule type="expression" dxfId="831" priority="510" stopIfTrue="1">
      <formula>E39="n/a"</formula>
    </cfRule>
  </conditionalFormatting>
  <conditionalFormatting sqref="F46:F47 F39:F44 R46:R47">
    <cfRule type="expression" dxfId="830" priority="511" stopIfTrue="1">
      <formula>E39="n/a"</formula>
    </cfRule>
  </conditionalFormatting>
  <conditionalFormatting sqref="E39:E44 E46:E47">
    <cfRule type="expression" dxfId="829" priority="578" stopIfTrue="1">
      <formula>E39="n/a"</formula>
    </cfRule>
  </conditionalFormatting>
  <conditionalFormatting sqref="D52">
    <cfRule type="expression" dxfId="828" priority="588" stopIfTrue="1">
      <formula>E52="n/a"</formula>
    </cfRule>
    <cfRule type="expression" dxfId="827" priority="589" stopIfTrue="1">
      <formula>$F$18="No"</formula>
    </cfRule>
  </conditionalFormatting>
  <conditionalFormatting sqref="F52">
    <cfRule type="expression" dxfId="826" priority="590" stopIfTrue="1">
      <formula>E52="n/a"</formula>
    </cfRule>
    <cfRule type="expression" dxfId="825" priority="591" stopIfTrue="1">
      <formula>$F$18="No"</formula>
    </cfRule>
  </conditionalFormatting>
  <conditionalFormatting sqref="G52">
    <cfRule type="expression" dxfId="824" priority="592" stopIfTrue="1">
      <formula>E52="n/a"</formula>
    </cfRule>
    <cfRule type="expression" dxfId="823" priority="593" stopIfTrue="1">
      <formula>$F$18="No"</formula>
    </cfRule>
  </conditionalFormatting>
  <conditionalFormatting sqref="B49:B51 D49:D51">
    <cfRule type="expression" dxfId="822" priority="594" stopIfTrue="1">
      <formula>E49="n/a"</formula>
    </cfRule>
    <cfRule type="expression" dxfId="821" priority="595" stopIfTrue="1">
      <formula>$F$18="no"</formula>
    </cfRule>
  </conditionalFormatting>
  <conditionalFormatting sqref="G49:G51 C49:C51 C53:C54">
    <cfRule type="expression" dxfId="820" priority="600" stopIfTrue="1">
      <formula>E49="n/a"</formula>
    </cfRule>
    <cfRule type="expression" dxfId="819" priority="601" stopIfTrue="1">
      <formula>$F$18="no"</formula>
    </cfRule>
  </conditionalFormatting>
  <conditionalFormatting sqref="F49:F51">
    <cfRule type="expression" dxfId="818" priority="604" stopIfTrue="1">
      <formula>E49="n/a"</formula>
    </cfRule>
    <cfRule type="expression" dxfId="817" priority="605" stopIfTrue="1">
      <formula>$F$18="no"</formula>
    </cfRule>
  </conditionalFormatting>
  <conditionalFormatting sqref="E52">
    <cfRule type="expression" dxfId="816" priority="637" stopIfTrue="1">
      <formula>E52="n/a"</formula>
    </cfRule>
    <cfRule type="expression" dxfId="815" priority="638" stopIfTrue="1">
      <formula>$F$18="No"</formula>
    </cfRule>
  </conditionalFormatting>
  <conditionalFormatting sqref="E49:E51">
    <cfRule type="expression" dxfId="814" priority="730" stopIfTrue="1">
      <formula>#REF!="n/a"</formula>
    </cfRule>
    <cfRule type="expression" dxfId="813" priority="731" stopIfTrue="1">
      <formula>$F$18="no"</formula>
    </cfRule>
  </conditionalFormatting>
  <conditionalFormatting sqref="C70:E71 E64 C73:G73 C65:E67">
    <cfRule type="expression" dxfId="812" priority="160" stopIfTrue="1">
      <formula>(OR($G$61=$Q$132,$G$61=$Q$131,$G$61=$Q$129))</formula>
    </cfRule>
  </conditionalFormatting>
  <conditionalFormatting sqref="G104">
    <cfRule type="expression" dxfId="811" priority="1726" stopIfTrue="1">
      <formula>OR($G$101=$Q$131,$G$101=$Q$129)</formula>
    </cfRule>
    <cfRule type="expression" dxfId="810" priority="1727" stopIfTrue="1">
      <formula>$G$103=0</formula>
    </cfRule>
    <cfRule type="expression" dxfId="809" priority="1728" stopIfTrue="1">
      <formula>AND((OR($G$80=$Q$131,$G$80=$Q$132)),(OR($G$61=$Q$131,$G$61=$Q$132)))</formula>
    </cfRule>
  </conditionalFormatting>
  <conditionalFormatting sqref="G82">
    <cfRule type="expression" dxfId="808" priority="1783" stopIfTrue="1">
      <formula>OR($G$80=$Q$132,$G$80=$Q$131,$G$80=$Q$129)</formula>
    </cfRule>
  </conditionalFormatting>
  <conditionalFormatting sqref="C64">
    <cfRule type="expression" dxfId="807" priority="1809" stopIfTrue="1">
      <formula>(OR($G$61=$Q$132,$G$61=$Q$131,$G$61=$Q$129))</formula>
    </cfRule>
  </conditionalFormatting>
  <conditionalFormatting sqref="C68 D68:E69">
    <cfRule type="expression" dxfId="806" priority="1810" stopIfTrue="1">
      <formula>(OR($G$61=$Q$132,$G$61=$Q$131,$G$61=$Q$129))</formula>
    </cfRule>
    <cfRule type="expression" dxfId="805" priority="1811" stopIfTrue="1">
      <formula>$F$18=$Q$131</formula>
    </cfRule>
  </conditionalFormatting>
  <conditionalFormatting sqref="D64">
    <cfRule type="expression" dxfId="804" priority="1835" stopIfTrue="1">
      <formula>(OR($G$61=$Q$132,$G$61=$Q$131,$G$61=$Q$129))</formula>
    </cfRule>
    <cfRule type="expression" dxfId="803" priority="1836" stopIfTrue="1">
      <formula>(OR($G$61=$Q$132,$G$61=$Q$131,$G$61=$Q$129))</formula>
    </cfRule>
  </conditionalFormatting>
  <conditionalFormatting sqref="F70:F71 F64:F67">
    <cfRule type="expression" dxfId="802" priority="1837" stopIfTrue="1">
      <formula>E64=$Q$131</formula>
    </cfRule>
    <cfRule type="expression" dxfId="801" priority="1838" stopIfTrue="1">
      <formula>(OR($G$61=$Q$132,$G$61=$Q$131,$G$61=$Q$129))</formula>
    </cfRule>
  </conditionalFormatting>
  <conditionalFormatting sqref="G70:G71 G64:G67">
    <cfRule type="expression" dxfId="800" priority="1850" stopIfTrue="1">
      <formula>(OR($G$61=$Q$132,$G$61=$Q$131,$G$61=$Q$129))</formula>
    </cfRule>
    <cfRule type="expression" dxfId="799" priority="1851" stopIfTrue="1">
      <formula>E64=$Q$131</formula>
    </cfRule>
  </conditionalFormatting>
  <conditionalFormatting sqref="C69">
    <cfRule type="expression" dxfId="798" priority="16" stopIfTrue="1">
      <formula>(OR($G$61=$Q$132,$G$61=$Q$131,$G$61=$Q$129))</formula>
    </cfRule>
    <cfRule type="expression" dxfId="797" priority="225" stopIfTrue="1">
      <formula>$F$18=$Q$131</formula>
    </cfRule>
  </conditionalFormatting>
  <conditionalFormatting sqref="G93 D96:E96 G99 D101:G101 D104:F104 G109">
    <cfRule type="expression" dxfId="796" priority="72" stopIfTrue="1">
      <formula>AND((OR($G$80=$Q$131,$G$80=$Q$132,$G$80=$Q$129)),(OR($G$61=$Q$131,$G$61=$Q$132,$G$61=$Q$129)))</formula>
    </cfRule>
  </conditionalFormatting>
  <conditionalFormatting sqref="F96">
    <cfRule type="expression" dxfId="795" priority="69" stopIfTrue="1">
      <formula>AND((OR($G$80=$Q$131,$G$80=$Q$132,$G$80=$Q$129)),(OR($G$61=$Q$131,$G$61=$Q$132,$G$61=$Q$129)))</formula>
    </cfRule>
    <cfRule type="expression" dxfId="794" priority="540" stopIfTrue="1">
      <formula>$E$96=$Q$131</formula>
    </cfRule>
  </conditionalFormatting>
  <conditionalFormatting sqref="G96">
    <cfRule type="expression" dxfId="793" priority="51" stopIfTrue="1">
      <formula>$E$96=$Q$131</formula>
    </cfRule>
    <cfRule type="expression" dxfId="792" priority="68" stopIfTrue="1">
      <formula>AND((OR($G$80=$Q$131,$G$80=$Q$132,$G$80=$Q$129)),(OR($G$61=$Q$131,$G$61=$Q$132,$G$61=$Q$129)))</formula>
    </cfRule>
  </conditionalFormatting>
  <conditionalFormatting sqref="G103">
    <cfRule type="expression" dxfId="791" priority="58" stopIfTrue="1">
      <formula>AND((OR($G$80=$Q$131,$G$80=$Q$132,$G$80=$Q$129)),(OR($G$61=$Q$131,$G$61=$Q$132,$G$61=$Q$129)))</formula>
    </cfRule>
    <cfRule type="expression" dxfId="790" priority="1729" stopIfTrue="1">
      <formula>OR($G$101=$Q$129,$G$101=$Q$129)</formula>
    </cfRule>
    <cfRule type="expression" dxfId="789" priority="1730" stopIfTrue="1">
      <formula>AND((OR($G$80=$Q$131,$G$80=$Q$132,$G$80=$Q$129)),(OR($G$61=$Q$131,$G$61=$Q$132,$G$61=$Q$129)))</formula>
    </cfRule>
  </conditionalFormatting>
  <conditionalFormatting sqref="G106">
    <cfRule type="expression" dxfId="788" priority="49" stopIfTrue="1">
      <formula>AND((OR($G$80=$Q$131,$G$80=$Q$132,$G$80=$Q$129)),(OR($G$61=$Q$131,$G$61=$Q$132,$G$61=$Q$129)))</formula>
    </cfRule>
    <cfRule type="expression" dxfId="787" priority="50" stopIfTrue="1">
      <formula>OR($G$101=$Q$129,$G$101=$Q$129)</formula>
    </cfRule>
    <cfRule type="expression" dxfId="786" priority="53" stopIfTrue="1">
      <formula>AND((OR($G$80=$Q$131,$G$80=$Q$132,$G$80=$Q$129)),(OR($G$61=$Q$131,$G$61=$Q$132,$G$61=$Q$129)))</formula>
    </cfRule>
  </conditionalFormatting>
  <conditionalFormatting sqref="G88">
    <cfRule type="expression" dxfId="785" priority="1780" stopIfTrue="1">
      <formula>OR($G$80=$Q$132,$G$80=$Q$131,$G$82=$S$129)</formula>
    </cfRule>
    <cfRule type="expression" dxfId="784" priority="1781" stopIfTrue="1">
      <formula>$G$82=$S$130</formula>
    </cfRule>
    <cfRule type="expression" dxfId="783" priority="1798" stopIfTrue="1">
      <formula>OR($G$80=$Q$132,$G$80=$Q$131,$G$80=$Q$129,$G$82=$S$129)</formula>
    </cfRule>
  </conditionalFormatting>
  <conditionalFormatting sqref="F88">
    <cfRule type="expression" dxfId="782" priority="36" stopIfTrue="1">
      <formula>OR($G$80=$Q$132,$G$80=$Q$131,$G$80=$Q$129,$G$82=$S$129)</formula>
    </cfRule>
    <cfRule type="expression" dxfId="781" priority="43" stopIfTrue="1">
      <formula>$G$82=$S$130</formula>
    </cfRule>
    <cfRule type="expression" dxfId="780" priority="44" stopIfTrue="1">
      <formula>OR($G$80=$Q$132,$G$80=$Q$131,$G$82=$S$129)</formula>
    </cfRule>
  </conditionalFormatting>
  <conditionalFormatting sqref="B85">
    <cfRule type="expression" dxfId="779" priority="42" stopIfTrue="1">
      <formula>OR($G$80=$Q$132,$G$80=$Q$131,$G$80=$Q$129,$G$82=$S$129)</formula>
    </cfRule>
    <cfRule type="expression" dxfId="778" priority="1782" stopIfTrue="1">
      <formula>$G$82=$S$131</formula>
    </cfRule>
  </conditionalFormatting>
  <conditionalFormatting sqref="C85:G85">
    <cfRule type="expression" dxfId="777" priority="35" stopIfTrue="1">
      <formula>$G$82=$S$131</formula>
    </cfRule>
    <cfRule type="expression" dxfId="776" priority="41" stopIfTrue="1">
      <formula>OR($G$80=$Q$132,$G$80=$Q$131,$G$80=$Q$129,$G$82=$S$129)</formula>
    </cfRule>
  </conditionalFormatting>
  <conditionalFormatting sqref="E53:E54">
    <cfRule type="expression" dxfId="775" priority="13" stopIfTrue="1">
      <formula>$F$18="No"</formula>
    </cfRule>
  </conditionalFormatting>
  <conditionalFormatting sqref="B52">
    <cfRule type="expression" dxfId="774" priority="582" stopIfTrue="1">
      <formula>E52="n/a"</formula>
    </cfRule>
    <cfRule type="expression" dxfId="773" priority="583" stopIfTrue="1">
      <formula>$F$18="No"</formula>
    </cfRule>
  </conditionalFormatting>
  <conditionalFormatting sqref="C52">
    <cfRule type="expression" dxfId="772" priority="586" stopIfTrue="1">
      <formula>E52="n/a"</formula>
    </cfRule>
    <cfRule type="expression" dxfId="771" priority="587" stopIfTrue="1">
      <formula>$F$18="No"</formula>
    </cfRule>
  </conditionalFormatting>
  <conditionalFormatting sqref="B53:B54 D53:D54 F53:G54">
    <cfRule type="expression" dxfId="770" priority="11" stopIfTrue="1">
      <formula>$F$18="no"</formula>
    </cfRule>
  </conditionalFormatting>
  <conditionalFormatting sqref="F97">
    <cfRule type="expression" dxfId="769" priority="2502" stopIfTrue="1">
      <formula>B24=R131</formula>
    </cfRule>
    <cfRule type="expression" dxfId="768" priority="2503" stopIfTrue="1">
      <formula>AND((OR($G$80=$Q$131,$G$80=$Q$132,$G$80=$Q$129)),(OR($G$61=$Q$131,$G$61=$Q$132,$G$61=$Q$129)))</formula>
    </cfRule>
    <cfRule type="expression" dxfId="767" priority="2504" stopIfTrue="1">
      <formula>$E$97=$Q$131</formula>
    </cfRule>
  </conditionalFormatting>
  <conditionalFormatting sqref="D35">
    <cfRule type="expression" dxfId="766" priority="2510" stopIfTrue="1">
      <formula>OR($D$34=$P$131,$D$34=$P$129)</formula>
    </cfRule>
  </conditionalFormatting>
  <conditionalFormatting sqref="G17">
    <cfRule type="expression" dxfId="765" priority="2511" stopIfTrue="1">
      <formula>$F$17=$Q$130</formula>
    </cfRule>
    <cfRule type="expression" dxfId="764" priority="2512" stopIfTrue="1">
      <formula>AND(OR($F$17=$Q$131,$F$17=$Q$129),$G$17&gt;0)</formula>
    </cfRule>
  </conditionalFormatting>
  <conditionalFormatting sqref="G16">
    <cfRule type="expression" dxfId="763" priority="2513" stopIfTrue="1">
      <formula>$F$16=$Q$130</formula>
    </cfRule>
    <cfRule type="expression" dxfId="762" priority="2514" stopIfTrue="1">
      <formula>AND(OR($F$16=$Q$131,$F$16=$Q$129),$G$16&gt;0)</formula>
    </cfRule>
  </conditionalFormatting>
  <conditionalFormatting sqref="G18">
    <cfRule type="expression" dxfId="761" priority="2515" stopIfTrue="1">
      <formula>$F$18=$Q$130</formula>
    </cfRule>
    <cfRule type="expression" dxfId="760" priority="2516" stopIfTrue="1">
      <formula>AND(OR($F$18=$Q$131,$F$18=$Q$129),$G$18&gt;0)</formula>
    </cfRule>
  </conditionalFormatting>
  <conditionalFormatting sqref="B28:B29 B31:B32 C29:D29 C28:G28 C32:D32 C31:G31 B34:B35 C35 C34:G34">
    <cfRule type="expression" dxfId="759" priority="2517" stopIfTrue="1">
      <formula>$B$24=$R$131</formula>
    </cfRule>
  </conditionalFormatting>
  <conditionalFormatting sqref="F68">
    <cfRule type="expression" dxfId="758" priority="2528" stopIfTrue="1">
      <formula>$F$18=$Q$131</formula>
    </cfRule>
    <cfRule type="expression" dxfId="757" priority="2529" stopIfTrue="1">
      <formula>(OR($G$61=$Q$132,$G$61=$Q$131,$G$61=$Q$129))</formula>
    </cfRule>
    <cfRule type="expression" dxfId="756" priority="2530" stopIfTrue="1">
      <formula>E68=$Q$131</formula>
    </cfRule>
  </conditionalFormatting>
  <conditionalFormatting sqref="G68">
    <cfRule type="expression" dxfId="755" priority="2533" stopIfTrue="1">
      <formula>(OR($G$61=$Q$132,$G$61=$Q$131,$G$61=$Q$129))</formula>
    </cfRule>
    <cfRule type="expression" dxfId="754" priority="2534" stopIfTrue="1">
      <formula>$F$18=$Q$131</formula>
    </cfRule>
    <cfRule type="expression" dxfId="753" priority="2535" stopIfTrue="1">
      <formula>E68=$Q$131</formula>
    </cfRule>
  </conditionalFormatting>
  <conditionalFormatting sqref="F69">
    <cfRule type="expression" dxfId="752" priority="2536" stopIfTrue="1">
      <formula>(OR($G$61=$Q$132,$G$61=$Q$131,$G$61=$Q$129))</formula>
    </cfRule>
    <cfRule type="expression" dxfId="751" priority="2537" stopIfTrue="1">
      <formula>E67=$Q$131</formula>
    </cfRule>
    <cfRule type="expression" dxfId="750" priority="2538" stopIfTrue="1">
      <formula>$F$18=$Q$131</formula>
    </cfRule>
  </conditionalFormatting>
  <conditionalFormatting sqref="G69">
    <cfRule type="expression" dxfId="749" priority="2539" stopIfTrue="1">
      <formula>E67=$Q$131</formula>
    </cfRule>
    <cfRule type="expression" dxfId="748" priority="2540" stopIfTrue="1">
      <formula>$F$18=$Q$131</formula>
    </cfRule>
    <cfRule type="expression" dxfId="747" priority="2541" stopIfTrue="1">
      <formula>(OR($G$61=$Q$132,$G$61=$Q$131,$G$61=$Q$129))</formula>
    </cfRule>
  </conditionalFormatting>
  <conditionalFormatting sqref="G97">
    <cfRule type="expression" dxfId="746" priority="2542" stopIfTrue="1">
      <formula>B24=R131</formula>
    </cfRule>
    <cfRule type="expression" dxfId="745" priority="2543" stopIfTrue="1">
      <formula>AND((OR($G$80=$Q$131,$G$80=$Q$132,$G$80=$Q$129)),(OR($G$61=$Q$131,$G$61=$Q$132,$G$61=$Q$129)))</formula>
    </cfRule>
    <cfRule type="expression" dxfId="744" priority="2544" stopIfTrue="1">
      <formula>$E$97=$Q$131</formula>
    </cfRule>
  </conditionalFormatting>
  <conditionalFormatting sqref="D97">
    <cfRule type="expression" dxfId="743" priority="2550" stopIfTrue="1">
      <formula>B24=R131</formula>
    </cfRule>
    <cfRule type="expression" dxfId="742" priority="2551" stopIfTrue="1">
      <formula>AND((OR($G$80=$Q$131,$G$80=$Q$132,$G$80=$Q$129)),(OR($G$61=$Q$131,$G$61=$Q$132,$G$61=$Q$129)))</formula>
    </cfRule>
  </conditionalFormatting>
  <conditionalFormatting sqref="E97">
    <cfRule type="expression" dxfId="741" priority="2552" stopIfTrue="1">
      <formula>B24=R131</formula>
    </cfRule>
    <cfRule type="expression" dxfId="740" priority="2553" stopIfTrue="1">
      <formula>AND((OR($G$80=$Q$131,$G$80=$Q$132,$G$80=$Q$129)),(OR($G$61=$Q$131,$G$61=$Q$132,$G$61=$Q$129)))</formula>
    </cfRule>
  </conditionalFormatting>
  <dataValidations xWindow="847" yWindow="621" count="22">
    <dataValidation type="list" operator="lessThanOrEqual" allowBlank="1" showInputMessage="1" showErrorMessage="1" sqref="G104" xr:uid="{00000000-0002-0000-0600-000000000000}">
      <formula1>$T$129:$T$229</formula1>
    </dataValidation>
    <dataValidation type="list" showInputMessage="1" showErrorMessage="1" sqref="G101 F16:F19" xr:uid="{00000000-0002-0000-0600-000001000000}">
      <formula1>$Q$129:$Q$131</formula1>
    </dataValidation>
    <dataValidation type="list" showInputMessage="1" showErrorMessage="1" sqref="E96:E97 E64:E68 E70" xr:uid="{00000000-0002-0000-0600-000002000000}">
      <formula1>$Q$130:$Q$131</formula1>
    </dataValidation>
    <dataValidation type="list" allowBlank="1" showInputMessage="1" showErrorMessage="1" sqref="F70:F71" xr:uid="{00000000-0002-0000-0600-000003000000}">
      <formula1>$Y$132:$Y$255</formula1>
    </dataValidation>
    <dataValidation allowBlank="1" showInputMessage="1" showErrorMessage="1" prompt="Insert the daily rainfall collected (and therefore used) in litres determined in accordance with BS8515 'Detailed Approach&quot;." sqref="F88" xr:uid="{00000000-0002-0000-0600-000004000000}"/>
    <dataValidation type="list" showInputMessage="1" showErrorMessage="1" sqref="G82" xr:uid="{00000000-0002-0000-0600-000005000000}">
      <formula1>$S$129:$S$131</formula1>
    </dataValidation>
    <dataValidation type="list" showInputMessage="1" showErrorMessage="1" sqref="G80 G61" xr:uid="{00000000-0002-0000-0600-000006000000}">
      <formula1>$Q$129:$Q$132</formula1>
    </dataValidation>
    <dataValidation allowBlank="1" showInputMessage="1" showErrorMessage="1" prompt="If frequency of yield occurs every day, then state 1, if every 5 days then state 5 etc." sqref="E73" xr:uid="{00000000-0002-0000-0600-000007000000}"/>
    <dataValidation type="list" showInputMessage="1" showErrorMessage="1" prompt="Only include greywater collected from the dishwasher for other uses e.g. toilet flushing/irrigation. Water re-used within the dishwasher i.e. final rinse water used for the pre-wash of the next load should not be counted within this calculation." sqref="E69" xr:uid="{00000000-0002-0000-0600-000008000000}">
      <formula1>$Q$130:$Q$131</formula1>
    </dataValidation>
    <dataValidation type="list" showInputMessage="1" showErrorMessage="1" prompt="Only include greywater collected from the washing machine for other uses e.g. toilet flushing/irrigation. Water re-used within the washing machine i.e. final rinse water used for the pre-wash of the next load should not be counted within this calculation." sqref="E71" xr:uid="{00000000-0002-0000-0600-000009000000}">
      <formula1>$Q$130:$Q$131</formula1>
    </dataValidation>
    <dataValidation type="list" allowBlank="1" showInputMessage="1" showErrorMessage="1" sqref="F96:F97 F64:F69" xr:uid="{00000000-0002-0000-0600-00000A000000}">
      <formula1>$T$129:$T$229</formula1>
    </dataValidation>
    <dataValidation type="list" allowBlank="1" showInputMessage="1" showErrorMessage="1" sqref="D34" xr:uid="{00000000-0002-0000-0600-00000B000000}">
      <formula1>$P$129:$P$131</formula1>
    </dataValidation>
    <dataValidation type="list" showInputMessage="1" showErrorMessage="1" sqref="B24" xr:uid="{00000000-0002-0000-0600-00000C000000}">
      <formula1>$R$129:$R$131</formula1>
    </dataValidation>
    <dataValidation allowBlank="1" showInputMessage="1" showErrorMessage="1" prompt="Enter the relevant specification._x000a__x000a_Important: If component is not specified, leave cell blank i.e. empty of figure." sqref="D39:D43 D49:D51 D46:D47" xr:uid="{00000000-0002-0000-0600-00000D000000}"/>
    <dataValidation allowBlank="1" showInputMessage="1" showErrorMessage="1" prompt="Enter the total number of urinal's in the building that are classed as waterless urinals." sqref="D35" xr:uid="{00000000-0002-0000-0600-00000E000000}"/>
    <dataValidation allowBlank="1" showInputMessage="1" showErrorMessage="1" prompt="Enter the total number of urinal's in the building that use this type of flushing control." sqref="D32" xr:uid="{00000000-0002-0000-0600-00000F000000}"/>
    <dataValidation allowBlank="1" showInputMessage="1" showErrorMessage="1" prompt="Enter the total number of urinal's in the building that use this type of flushing control_x000a__x000a_Where a urinal slab is specified, use a default of one urinal for each 700mm width of urinal slab." sqref="D29" xr:uid="{00000000-0002-0000-0600-000010000000}"/>
    <dataValidation allowBlank="1" showInputMessage="1" showErrorMessage="1" prompt="Enter the capacity (in litres) of the cistern specified for supplying water for urinal flushing purposes._x000a__x000a_Important: If component is not specified, leave cell blank i.e. empty of figure." sqref="D28" xr:uid="{00000000-0002-0000-0600-000011000000}"/>
    <dataValidation allowBlank="1" showInputMessage="1" showErrorMessage="1" prompt="Enter the total number of cisterns specified (at specifed capacity) in building." sqref="E28" xr:uid="{00000000-0002-0000-0600-000012000000}"/>
    <dataValidation allowBlank="1" showInputMessage="1" showErrorMessage="1" prompt="Enter the effective flush volume for the WCs specified._x000a__x000a_Important: If component is not specified, leave cell blank i.e. empty of figure._x000a__x000a_Refer to the technical guide for a definition oof effective flush volume and how to calculate it." sqref="D24:D25" xr:uid="{00000000-0002-0000-0600-000013000000}"/>
    <dataValidation allowBlank="1" showInputMessage="1" showErrorMessage="1" prompt="Enter the litres per flush per bowl._x000a__x000a_Important: If component is not specified, leave cell blank i.e. empty of figure." sqref="D31" xr:uid="{00000000-0002-0000-0600-000014000000}"/>
    <dataValidation type="list" allowBlank="1" showInputMessage="1" showErrorMessage="1" sqref="C10:D10" xr:uid="{00000000-0002-0000-0600-000015000000}">
      <formula1>$U$129:$U$132</formula1>
    </dataValidation>
  </dataValidations>
  <pageMargins left="0.75" right="0.75" top="1" bottom="1" header="0.5" footer="0.5"/>
  <pageSetup paperSize="9" orientation="portrait" verticalDpi="598"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AO285"/>
  <sheetViews>
    <sheetView zoomScale="85" zoomScaleNormal="85" workbookViewId="0">
      <pane ySplit="2" topLeftCell="A3" activePane="bottomLeft" state="frozen"/>
      <selection activeCell="M4" sqref="M4"/>
      <selection pane="bottomLeft" activeCell="B3" sqref="B3"/>
    </sheetView>
  </sheetViews>
  <sheetFormatPr defaultColWidth="9.140625" defaultRowHeight="12.75" x14ac:dyDescent="0.2"/>
  <cols>
    <col min="1" max="1" width="5.42578125" style="149" customWidth="1"/>
    <col min="2" max="2" width="51.5703125" style="149" customWidth="1"/>
    <col min="3" max="6" width="28.7109375" style="149" customWidth="1"/>
    <col min="7" max="7" width="28.7109375" style="197" customWidth="1"/>
    <col min="8" max="8" width="5.7109375" style="144" customWidth="1"/>
    <col min="9" max="9" width="10.42578125" style="149" customWidth="1"/>
    <col min="10" max="10" width="42.42578125" style="149" customWidth="1"/>
    <col min="11" max="11" width="31" style="149" customWidth="1"/>
    <col min="12" max="12" width="31" style="149" hidden="1" customWidth="1"/>
    <col min="13" max="14" width="32.28515625" style="149" hidden="1" customWidth="1"/>
    <col min="15" max="15" width="38.28515625" style="149" hidden="1" customWidth="1"/>
    <col min="16" max="16" width="29" style="149" hidden="1" customWidth="1"/>
    <col min="17" max="17" width="31.5703125" style="149" hidden="1" customWidth="1"/>
    <col min="18" max="21" width="29" style="149" hidden="1" customWidth="1"/>
    <col min="22" max="22" width="18.85546875" style="149" hidden="1" customWidth="1"/>
    <col min="23" max="23" width="18.7109375" style="149" hidden="1" customWidth="1"/>
    <col min="24" max="28" width="27.28515625" style="149" customWidth="1"/>
    <col min="29" max="29" width="27.28515625" style="144" customWidth="1"/>
    <col min="30" max="30" width="32.140625" style="146" customWidth="1"/>
    <col min="31" max="32" width="16.5703125" style="144" customWidth="1"/>
    <col min="33" max="33" width="11.28515625" style="144" customWidth="1"/>
    <col min="34" max="40" width="9.140625" style="144" customWidth="1"/>
    <col min="41" max="41" width="9.140625" style="147" customWidth="1"/>
    <col min="42" max="42" width="9.140625" style="144" customWidth="1"/>
    <col min="43" max="16384" width="9.140625" style="144"/>
  </cols>
  <sheetData>
    <row r="1" spans="1:41" ht="13.15" customHeight="1" x14ac:dyDescent="0.2">
      <c r="A1" s="144"/>
      <c r="B1" s="144"/>
      <c r="C1" s="144"/>
      <c r="D1" s="144"/>
      <c r="E1" s="144"/>
      <c r="F1" s="144"/>
      <c r="G1" s="145"/>
      <c r="I1" s="144"/>
      <c r="J1" s="144"/>
      <c r="K1" s="144"/>
      <c r="L1" s="144"/>
      <c r="M1" s="144"/>
      <c r="N1" s="144"/>
      <c r="O1" s="144"/>
      <c r="P1" s="144"/>
      <c r="Q1" s="144"/>
      <c r="R1" s="144"/>
      <c r="S1" s="144"/>
      <c r="T1" s="144"/>
      <c r="U1" s="144"/>
      <c r="V1" s="144"/>
      <c r="W1" s="144"/>
      <c r="X1" s="144"/>
      <c r="Y1" s="144"/>
      <c r="Z1" s="144"/>
      <c r="AA1" s="144"/>
      <c r="AB1" s="144"/>
    </row>
    <row r="2" spans="1:41" ht="36" customHeight="1" x14ac:dyDescent="0.2">
      <c r="A2" s="144"/>
      <c r="B2" s="534" t="s">
        <v>1021</v>
      </c>
      <c r="C2" s="505"/>
      <c r="D2" s="505"/>
      <c r="E2" s="505"/>
      <c r="F2" s="505"/>
      <c r="G2" s="505"/>
      <c r="I2" s="144"/>
      <c r="J2" s="144"/>
      <c r="K2" s="144"/>
      <c r="L2" s="144"/>
      <c r="M2" s="144"/>
      <c r="N2" s="144"/>
      <c r="O2" s="144"/>
      <c r="P2" s="144"/>
      <c r="Q2" s="144"/>
      <c r="R2" s="144"/>
      <c r="S2" s="144"/>
      <c r="T2" s="144"/>
      <c r="U2" s="144"/>
      <c r="V2" s="144"/>
      <c r="W2" s="144"/>
      <c r="X2" s="144"/>
      <c r="Y2" s="144"/>
      <c r="Z2" s="144"/>
      <c r="AA2" s="144"/>
      <c r="AB2" s="144"/>
    </row>
    <row r="3" spans="1:41" ht="15" customHeight="1" x14ac:dyDescent="0.2">
      <c r="A3" s="144"/>
      <c r="B3" s="144"/>
      <c r="C3" s="144"/>
      <c r="D3" s="144"/>
      <c r="E3" s="144"/>
      <c r="F3" s="144"/>
      <c r="G3" s="144"/>
      <c r="I3" s="144"/>
      <c r="J3" s="144"/>
      <c r="K3" s="144"/>
      <c r="L3" s="144"/>
      <c r="M3" s="144"/>
      <c r="N3" s="144"/>
      <c r="O3" s="144"/>
      <c r="P3" s="144"/>
      <c r="Q3" s="144"/>
      <c r="R3" s="144"/>
      <c r="S3" s="144"/>
      <c r="T3" s="144"/>
      <c r="U3" s="144"/>
      <c r="V3" s="144"/>
      <c r="W3" s="144"/>
      <c r="X3" s="144"/>
      <c r="Y3" s="144"/>
      <c r="Z3" s="144"/>
      <c r="AA3" s="144"/>
      <c r="AB3" s="144"/>
    </row>
    <row r="4" spans="1:41" ht="32.1" customHeight="1" x14ac:dyDescent="0.2">
      <c r="A4" s="113"/>
      <c r="B4" s="516" t="s">
        <v>1001</v>
      </c>
      <c r="C4" s="516"/>
      <c r="D4" s="516"/>
      <c r="E4" s="516"/>
      <c r="F4" s="516"/>
      <c r="G4" s="516"/>
      <c r="I4" s="253" t="s">
        <v>672</v>
      </c>
      <c r="J4" s="253"/>
      <c r="K4" s="144"/>
      <c r="L4" s="144"/>
      <c r="M4" s="144"/>
      <c r="N4" s="144"/>
      <c r="O4" s="110"/>
      <c r="P4" s="110"/>
      <c r="Q4" s="110"/>
      <c r="R4" s="110"/>
      <c r="S4" s="110"/>
      <c r="T4" s="110"/>
      <c r="U4" s="110"/>
      <c r="V4" s="110"/>
      <c r="W4" s="110"/>
      <c r="X4" s="110"/>
      <c r="Y4" s="110"/>
      <c r="Z4" s="110"/>
      <c r="AA4" s="110"/>
      <c r="AB4" s="110"/>
      <c r="AC4" s="110"/>
      <c r="AD4" s="144"/>
      <c r="AO4" s="144"/>
    </row>
    <row r="5" spans="1:41" ht="15" customHeight="1" x14ac:dyDescent="0.2">
      <c r="A5" s="113"/>
      <c r="B5" s="320"/>
      <c r="C5" s="320"/>
      <c r="D5" s="113"/>
      <c r="E5" s="113"/>
      <c r="F5" s="113"/>
      <c r="G5" s="113"/>
      <c r="I5" s="254"/>
      <c r="J5" s="347" t="s">
        <v>673</v>
      </c>
      <c r="K5" s="144"/>
      <c r="L5" s="144"/>
      <c r="M5" s="144"/>
      <c r="N5" s="144"/>
      <c r="O5" s="110"/>
      <c r="P5" s="110"/>
      <c r="Q5" s="110"/>
      <c r="R5" s="110"/>
      <c r="S5" s="110"/>
      <c r="T5" s="110"/>
      <c r="U5" s="110"/>
      <c r="V5" s="110"/>
      <c r="W5" s="110"/>
      <c r="X5" s="110"/>
      <c r="Y5" s="110"/>
      <c r="Z5" s="110"/>
      <c r="AA5" s="110"/>
      <c r="AB5" s="110"/>
      <c r="AC5" s="110"/>
      <c r="AD5" s="110"/>
      <c r="AE5" s="110"/>
      <c r="AO5" s="144"/>
    </row>
    <row r="6" spans="1:41" ht="15" customHeight="1" x14ac:dyDescent="0.2">
      <c r="A6" s="113"/>
      <c r="B6" s="528" t="s">
        <v>675</v>
      </c>
      <c r="C6" s="599"/>
      <c r="D6" s="600"/>
      <c r="E6" s="565"/>
      <c r="F6" s="113"/>
      <c r="G6" s="113"/>
      <c r="I6" s="255"/>
      <c r="J6" s="347" t="s">
        <v>674</v>
      </c>
      <c r="K6" s="253"/>
      <c r="L6" s="253"/>
      <c r="M6" s="507"/>
      <c r="N6" s="110"/>
      <c r="O6" s="110"/>
      <c r="P6" s="110"/>
      <c r="Q6" s="110"/>
      <c r="R6" s="110"/>
      <c r="S6" s="110"/>
      <c r="T6" s="110"/>
      <c r="U6" s="110"/>
      <c r="V6" s="110"/>
      <c r="W6" s="110"/>
      <c r="X6" s="110"/>
      <c r="Y6" s="110"/>
      <c r="Z6" s="110"/>
      <c r="AA6" s="110"/>
      <c r="AB6" s="110"/>
      <c r="AC6" s="110"/>
      <c r="AD6" s="110"/>
      <c r="AO6" s="144"/>
    </row>
    <row r="7" spans="1:41" ht="15" customHeight="1" x14ac:dyDescent="0.2">
      <c r="A7" s="113"/>
      <c r="B7" s="113"/>
      <c r="C7" s="113"/>
      <c r="D7" s="113"/>
      <c r="E7" s="113"/>
      <c r="F7" s="113"/>
      <c r="G7" s="113"/>
      <c r="I7" s="256"/>
      <c r="J7" s="347" t="s">
        <v>763</v>
      </c>
      <c r="K7" s="508"/>
      <c r="L7" s="508"/>
      <c r="M7" s="144"/>
      <c r="N7" s="110"/>
      <c r="O7" s="110"/>
      <c r="P7" s="110"/>
      <c r="Q7" s="110"/>
      <c r="R7" s="110"/>
      <c r="S7" s="110"/>
      <c r="T7" s="110"/>
      <c r="U7" s="110"/>
      <c r="V7" s="110"/>
      <c r="W7" s="110"/>
      <c r="X7" s="110"/>
      <c r="Y7" s="110"/>
      <c r="Z7" s="110"/>
      <c r="AA7" s="110"/>
      <c r="AB7" s="110"/>
      <c r="AC7" s="110"/>
      <c r="AD7" s="110"/>
      <c r="AO7" s="144"/>
    </row>
    <row r="8" spans="1:41" ht="15" customHeight="1" x14ac:dyDescent="0.2">
      <c r="A8" s="113"/>
      <c r="B8" s="531" t="s">
        <v>676</v>
      </c>
      <c r="C8" s="601"/>
      <c r="D8" s="602"/>
      <c r="E8" s="567"/>
      <c r="F8" s="113"/>
      <c r="G8" s="113"/>
      <c r="I8" s="345" t="s">
        <v>759</v>
      </c>
      <c r="J8" s="347"/>
      <c r="K8" s="144"/>
      <c r="L8" s="144"/>
      <c r="M8" s="144"/>
      <c r="N8" s="110"/>
      <c r="O8" s="110"/>
      <c r="P8" s="110"/>
      <c r="Q8" s="110"/>
      <c r="R8" s="110"/>
      <c r="S8" s="110"/>
      <c r="T8" s="110"/>
      <c r="U8" s="110"/>
      <c r="V8" s="110"/>
      <c r="W8" s="110"/>
      <c r="X8" s="110"/>
      <c r="Y8" s="110"/>
      <c r="Z8" s="110"/>
      <c r="AA8" s="110"/>
      <c r="AB8" s="110"/>
      <c r="AC8" s="110"/>
      <c r="AD8" s="110"/>
      <c r="AO8" s="144"/>
    </row>
    <row r="9" spans="1:41" ht="15" customHeight="1" x14ac:dyDescent="0.2">
      <c r="A9" s="113"/>
      <c r="B9" s="113"/>
      <c r="C9" s="564"/>
      <c r="D9" s="565"/>
      <c r="E9" s="565"/>
      <c r="F9" s="113"/>
      <c r="G9" s="113"/>
      <c r="I9" s="566"/>
      <c r="J9" s="347"/>
      <c r="K9" s="144"/>
      <c r="L9" s="144"/>
      <c r="M9" s="144"/>
      <c r="N9" s="110"/>
      <c r="O9" s="110"/>
      <c r="P9" s="110"/>
      <c r="Q9" s="110"/>
      <c r="R9" s="110"/>
      <c r="S9" s="110"/>
      <c r="T9" s="110"/>
      <c r="U9" s="110"/>
      <c r="V9" s="110"/>
      <c r="W9" s="110"/>
      <c r="X9" s="110"/>
      <c r="Y9" s="110"/>
      <c r="Z9" s="110"/>
      <c r="AA9" s="110"/>
      <c r="AB9" s="110"/>
      <c r="AC9" s="110"/>
      <c r="AD9" s="110"/>
      <c r="AO9" s="144"/>
    </row>
    <row r="10" spans="1:41" ht="15" customHeight="1" x14ac:dyDescent="0.2">
      <c r="A10" s="113"/>
      <c r="B10" s="563" t="s">
        <v>961</v>
      </c>
      <c r="C10" s="618" t="s">
        <v>654</v>
      </c>
      <c r="D10" s="618"/>
      <c r="E10" s="567"/>
      <c r="F10" s="113"/>
      <c r="G10" s="113"/>
      <c r="I10" s="566"/>
      <c r="J10" s="347"/>
      <c r="K10" s="144"/>
      <c r="L10" s="144"/>
      <c r="M10" s="144"/>
      <c r="N10" s="110"/>
      <c r="O10" s="110"/>
      <c r="P10" s="110"/>
      <c r="Q10" s="110"/>
      <c r="R10" s="110"/>
      <c r="S10" s="110"/>
      <c r="T10" s="110"/>
      <c r="U10" s="110"/>
      <c r="V10" s="110"/>
      <c r="W10" s="110"/>
      <c r="X10" s="110"/>
      <c r="Y10" s="110"/>
      <c r="Z10" s="110"/>
      <c r="AA10" s="110"/>
      <c r="AB10" s="110"/>
      <c r="AC10" s="110"/>
      <c r="AD10" s="110"/>
      <c r="AO10" s="144"/>
    </row>
    <row r="11" spans="1:41" ht="15" customHeight="1" x14ac:dyDescent="0.2">
      <c r="A11" s="113"/>
      <c r="B11" s="136"/>
      <c r="C11" s="136"/>
      <c r="D11" s="113"/>
      <c r="E11" s="113"/>
      <c r="F11" s="113"/>
      <c r="G11" s="114"/>
      <c r="I11" s="117"/>
      <c r="J11" s="633"/>
      <c r="K11" s="633"/>
      <c r="L11" s="633"/>
      <c r="M11" s="633"/>
      <c r="N11" s="559"/>
      <c r="O11" s="144"/>
      <c r="P11" s="144"/>
      <c r="Q11" s="144"/>
      <c r="R11" s="144"/>
      <c r="S11" s="144"/>
      <c r="T11" s="144"/>
      <c r="U11" s="144"/>
      <c r="V11" s="144"/>
      <c r="W11" s="144"/>
      <c r="X11" s="144"/>
      <c r="Y11" s="144"/>
      <c r="Z11" s="144"/>
      <c r="AA11" s="144"/>
      <c r="AB11" s="144"/>
    </row>
    <row r="12" spans="1:41" ht="24.95" customHeight="1" x14ac:dyDescent="0.2">
      <c r="A12" s="113"/>
      <c r="B12" s="517" t="s">
        <v>640</v>
      </c>
      <c r="C12" s="627" t="s">
        <v>641</v>
      </c>
      <c r="D12" s="628"/>
      <c r="E12" s="629"/>
      <c r="F12" s="539" t="s">
        <v>618</v>
      </c>
      <c r="G12" s="538" t="s">
        <v>388</v>
      </c>
      <c r="I12" s="144"/>
      <c r="J12" s="633"/>
      <c r="K12" s="633"/>
      <c r="L12" s="633"/>
      <c r="M12" s="633"/>
      <c r="N12" s="560"/>
      <c r="O12" s="144"/>
      <c r="P12" s="144"/>
      <c r="Q12" s="144"/>
      <c r="R12" s="144"/>
      <c r="S12" s="144"/>
      <c r="T12" s="144"/>
      <c r="U12" s="144"/>
      <c r="V12" s="144"/>
      <c r="W12" s="144"/>
      <c r="X12" s="150"/>
      <c r="Y12" s="150"/>
      <c r="Z12" s="150"/>
      <c r="AA12" s="150"/>
      <c r="AB12" s="150"/>
      <c r="AC12" s="150"/>
      <c r="AD12" s="150"/>
    </row>
    <row r="13" spans="1:41" ht="42.75" customHeight="1" x14ac:dyDescent="0.2">
      <c r="A13" s="346" t="str">
        <f>IF(B13=$R$130,"&gt;","")</f>
        <v>&gt;</v>
      </c>
      <c r="B13" s="352" t="s">
        <v>654</v>
      </c>
      <c r="C13" s="630" t="e">
        <f>VLOOKUP(B13,'Activity database'!A:B,2,FALSE)</f>
        <v>#N/A</v>
      </c>
      <c r="D13" s="631"/>
      <c r="E13" s="632"/>
      <c r="F13" s="116" t="e">
        <f>VLOOKUP(B13,'Activity database'!A:AN,4,FALSE)</f>
        <v>#N/A</v>
      </c>
      <c r="G13" s="116" t="e">
        <f>VLOOKUP(B13,'Activity database'!A:AN,5,FALSE)</f>
        <v>#N/A</v>
      </c>
      <c r="H13" s="625" t="str">
        <f>O158</f>
        <v>Note: If this retail development contains one of or a combination of restaurants/cafes (for customer use), gym or cinema then please ensure you undertake separate water consumption calculations for such building functions using the appropriate building type calculator. You must then determine the number of BREEAM credits achieved for the development as a whole in accordance with the guidance given in the compliance note: "Building is a mixture of different types", contained within the Wat01 issue in the BREEAM New Construction technical guide.</v>
      </c>
      <c r="I13" s="626"/>
      <c r="J13" s="626"/>
      <c r="K13" s="626"/>
      <c r="L13" s="626"/>
      <c r="M13" s="626"/>
      <c r="N13" s="144"/>
      <c r="O13" s="144"/>
      <c r="P13" s="144"/>
      <c r="Q13" s="144"/>
      <c r="R13" s="144"/>
      <c r="S13" s="144"/>
      <c r="T13" s="144"/>
      <c r="U13" s="144"/>
      <c r="V13" s="144"/>
      <c r="W13" s="144"/>
      <c r="X13" s="151"/>
      <c r="Y13" s="152"/>
      <c r="Z13" s="152"/>
      <c r="AA13" s="152"/>
      <c r="AB13" s="152"/>
      <c r="AC13" s="152"/>
      <c r="AD13" s="152"/>
    </row>
    <row r="14" spans="1:41" ht="33" customHeight="1" x14ac:dyDescent="0.2">
      <c r="A14" s="346" t="str">
        <f>IF(B13=R130,"",IF(G14=$R$130,"&gt;",""))</f>
        <v/>
      </c>
      <c r="B14" s="346"/>
      <c r="C14" s="620" t="s">
        <v>824</v>
      </c>
      <c r="D14" s="621"/>
      <c r="E14" s="621"/>
      <c r="F14" s="622"/>
      <c r="G14" s="273" t="s">
        <v>654</v>
      </c>
      <c r="H14" s="625"/>
      <c r="I14" s="626"/>
      <c r="J14" s="626"/>
      <c r="K14" s="626"/>
      <c r="L14" s="626"/>
      <c r="M14" s="626"/>
      <c r="N14" s="144"/>
      <c r="O14" s="144"/>
      <c r="P14" s="144"/>
      <c r="Q14" s="144"/>
      <c r="R14" s="144"/>
      <c r="S14" s="144"/>
      <c r="T14" s="144"/>
      <c r="U14" s="144"/>
      <c r="V14" s="144"/>
      <c r="W14" s="144"/>
      <c r="X14" s="151"/>
      <c r="Y14" s="152"/>
      <c r="Z14" s="152"/>
      <c r="AA14" s="152"/>
      <c r="AB14" s="152"/>
      <c r="AC14" s="152"/>
      <c r="AD14" s="152"/>
    </row>
    <row r="15" spans="1:41" ht="33" customHeight="1" x14ac:dyDescent="0.2">
      <c r="A15" s="346"/>
      <c r="B15" s="346"/>
      <c r="C15" s="346"/>
      <c r="D15" s="346"/>
      <c r="E15" s="144"/>
      <c r="F15" s="557" t="s">
        <v>836</v>
      </c>
      <c r="G15" s="357">
        <f>IF(G14=R132,R136,O139)</f>
        <v>0</v>
      </c>
      <c r="H15" s="383" t="str">
        <f>IF(G14=R132,O157,"")</f>
        <v/>
      </c>
      <c r="I15" s="144"/>
      <c r="J15" s="144"/>
      <c r="K15" s="144"/>
      <c r="L15" s="144"/>
      <c r="M15" s="144"/>
      <c r="N15" s="144"/>
      <c r="O15" s="144"/>
      <c r="P15" s="144"/>
      <c r="Q15" s="144"/>
      <c r="R15" s="144"/>
      <c r="S15" s="144"/>
      <c r="T15" s="144"/>
      <c r="U15" s="144"/>
      <c r="V15" s="144"/>
      <c r="W15" s="144"/>
      <c r="X15" s="151"/>
      <c r="Y15" s="152"/>
      <c r="Z15" s="152"/>
      <c r="AA15" s="152"/>
      <c r="AB15" s="152"/>
      <c r="AC15" s="152"/>
      <c r="AD15" s="152"/>
    </row>
    <row r="16" spans="1:41" ht="33" customHeight="1" x14ac:dyDescent="0.2">
      <c r="A16" s="346"/>
      <c r="B16" s="346"/>
      <c r="C16" s="346"/>
      <c r="D16" s="346"/>
      <c r="E16" s="144"/>
      <c r="F16" s="557" t="s">
        <v>837</v>
      </c>
      <c r="G16" s="357">
        <f>P139</f>
        <v>0</v>
      </c>
      <c r="I16" s="144"/>
      <c r="J16" s="144"/>
      <c r="K16" s="144"/>
      <c r="L16" s="144"/>
      <c r="M16" s="144"/>
      <c r="N16" s="144"/>
      <c r="O16" s="144"/>
      <c r="P16" s="144"/>
      <c r="Q16" s="144"/>
      <c r="R16" s="144"/>
      <c r="S16" s="144"/>
      <c r="T16" s="144"/>
      <c r="U16" s="144"/>
      <c r="V16" s="144"/>
      <c r="W16" s="144"/>
      <c r="X16" s="151"/>
      <c r="Y16" s="152"/>
      <c r="Z16" s="152"/>
      <c r="AA16" s="152"/>
      <c r="AB16" s="152"/>
      <c r="AC16" s="152"/>
      <c r="AD16" s="152"/>
    </row>
    <row r="17" spans="1:41" ht="17.25" customHeight="1" x14ac:dyDescent="0.2">
      <c r="A17" s="113"/>
      <c r="B17" s="113"/>
      <c r="C17" s="113"/>
      <c r="D17" s="113"/>
      <c r="E17" s="113"/>
      <c r="F17" s="137"/>
      <c r="G17" s="114"/>
      <c r="I17" s="144"/>
      <c r="J17" s="144"/>
      <c r="K17" s="144"/>
      <c r="L17" s="144"/>
      <c r="M17" s="144"/>
      <c r="N17" s="144"/>
      <c r="O17" s="144"/>
      <c r="P17" s="144"/>
      <c r="Q17" s="144"/>
      <c r="R17" s="144"/>
      <c r="S17" s="144"/>
      <c r="T17" s="144"/>
      <c r="U17" s="144"/>
      <c r="V17" s="144"/>
      <c r="W17" s="144"/>
      <c r="X17" s="144"/>
      <c r="Z17" s="144"/>
      <c r="AA17" s="144"/>
      <c r="AB17" s="144"/>
    </row>
    <row r="18" spans="1:41" ht="24.95" customHeight="1" x14ac:dyDescent="0.2">
      <c r="A18" s="113"/>
      <c r="B18" s="517" t="s">
        <v>645</v>
      </c>
      <c r="C18" s="535" t="s">
        <v>639</v>
      </c>
      <c r="D18" s="536"/>
      <c r="E18" s="537"/>
      <c r="F18" s="538" t="s">
        <v>502</v>
      </c>
      <c r="G18" s="538" t="s">
        <v>959</v>
      </c>
      <c r="H18" s="619" t="str">
        <f>'Office calculator'!H15</f>
        <v>Note: the  activity areas defined opposite are used to estimate the assessed building's default occupancy and therefore water consumption benchmark. These areas are chosen as they are deemed, by in large, to represent the permanently occupied spaces in the building and therefore reflect the number of building occupants/users. As a result it is not necessary to include all areas of the building that may be present, as the areas not defined are assumed to be used by the occupants of the building already accounted for by those areas that are listed.</v>
      </c>
      <c r="I18" s="603"/>
      <c r="J18" s="603"/>
      <c r="K18" s="603"/>
      <c r="L18" s="603"/>
      <c r="M18" s="603"/>
      <c r="N18" s="514"/>
      <c r="O18" s="511"/>
      <c r="P18" s="511"/>
      <c r="Q18" s="144"/>
      <c r="R18" s="144"/>
      <c r="S18" s="144"/>
      <c r="T18" s="144"/>
      <c r="U18" s="144"/>
      <c r="V18" s="144"/>
      <c r="W18" s="144"/>
      <c r="X18" s="144"/>
      <c r="Y18" s="117"/>
      <c r="Z18" s="144"/>
      <c r="AA18" s="144"/>
      <c r="AB18" s="144"/>
      <c r="AD18" s="144"/>
      <c r="AO18" s="144"/>
    </row>
    <row r="19" spans="1:41" ht="39.950000000000003" customHeight="1" x14ac:dyDescent="0.2">
      <c r="A19" s="346" t="str">
        <f t="shared" ref="A19:A25" si="0">IF(F19=$R$130,"&gt;",IF(AND(F19=$R$131,G19=""),"&gt;",""))</f>
        <v>&gt;</v>
      </c>
      <c r="B19" s="354" t="str">
        <f>'Activity database'!A43</f>
        <v>Retail - sales areas for display of bulky items</v>
      </c>
      <c r="C19" s="623" t="str">
        <f>VLOOKUP(B19,'Activity database'!A:B,2,FALSE)</f>
        <v>A retail sales/display area trading predominantly in bulky items, e.g. furniture, floor coverings, cycles, prams, large domestic appliances or other bulky goods, or trading on a wholesale self-selection basis.</v>
      </c>
      <c r="D19" s="623"/>
      <c r="E19" s="623"/>
      <c r="F19" s="261" t="s">
        <v>654</v>
      </c>
      <c r="G19" s="262"/>
      <c r="H19" s="619"/>
      <c r="I19" s="603"/>
      <c r="J19" s="603"/>
      <c r="K19" s="603"/>
      <c r="L19" s="603"/>
      <c r="M19" s="603"/>
      <c r="N19" s="514"/>
      <c r="O19" s="511"/>
      <c r="P19" s="511"/>
      <c r="Q19" s="144"/>
      <c r="R19" s="144"/>
      <c r="S19" s="144"/>
      <c r="T19" s="144"/>
      <c r="U19" s="144"/>
      <c r="V19" s="144"/>
      <c r="W19" s="144"/>
      <c r="X19" s="144"/>
      <c r="Y19" s="117"/>
      <c r="Z19" s="144"/>
      <c r="AA19" s="144"/>
      <c r="AB19" s="144"/>
      <c r="AD19" s="144"/>
      <c r="AO19" s="144"/>
    </row>
    <row r="20" spans="1:41" ht="39.950000000000003" customHeight="1" x14ac:dyDescent="0.2">
      <c r="A20" s="346" t="str">
        <f t="shared" si="0"/>
        <v>&gt;</v>
      </c>
      <c r="B20" s="354" t="str">
        <f>'Activity database'!A44</f>
        <v>Retail - sales areas for display of non bulky items and/or customer service area.</v>
      </c>
      <c r="C20" s="623" t="str">
        <f>VLOOKUP(B20,'Activity database'!A:B,2,FALSE)</f>
        <v>A general sales/display areas in department stores, supermarkets, shops and/or customer service waiting and/or collection areas e.g. in banks, post office, bookmakers etc.</v>
      </c>
      <c r="D20" s="623"/>
      <c r="E20" s="623"/>
      <c r="F20" s="261" t="s">
        <v>654</v>
      </c>
      <c r="G20" s="262"/>
      <c r="H20" s="511"/>
      <c r="I20" s="511"/>
      <c r="J20" s="511"/>
      <c r="K20" s="511"/>
      <c r="L20" s="511"/>
      <c r="M20" s="511"/>
      <c r="N20" s="511"/>
      <c r="O20" s="511"/>
      <c r="P20" s="511"/>
      <c r="Q20" s="117"/>
      <c r="R20" s="117"/>
      <c r="S20" s="117"/>
      <c r="T20" s="144"/>
      <c r="U20" s="144"/>
      <c r="V20" s="144"/>
      <c r="W20" s="144"/>
      <c r="X20" s="144"/>
      <c r="Y20" s="117"/>
      <c r="Z20" s="144"/>
      <c r="AA20" s="144"/>
      <c r="AB20" s="144"/>
      <c r="AD20" s="144"/>
      <c r="AO20" s="144"/>
    </row>
    <row r="21" spans="1:41" ht="39.950000000000003" customHeight="1" x14ac:dyDescent="0.2">
      <c r="A21" s="346" t="str">
        <f t="shared" si="0"/>
        <v>&gt;</v>
      </c>
      <c r="B21" s="354" t="str">
        <f>'Activity database'!A45</f>
        <v>Retail - concourse/shopping mall</v>
      </c>
      <c r="C21" s="623" t="str">
        <f>VLOOKUP(B21,'Activity database'!A:B,2,FALSE)</f>
        <v>The central (shared) area within a shopping centre used for access by shoppers (typically a covered area containing one or more of benches, cafes, escalators etc.)</v>
      </c>
      <c r="D21" s="623"/>
      <c r="E21" s="623"/>
      <c r="F21" s="261" t="s">
        <v>654</v>
      </c>
      <c r="G21" s="262"/>
      <c r="H21" s="511"/>
      <c r="I21" s="511"/>
      <c r="J21" s="511"/>
      <c r="K21" s="511"/>
      <c r="L21" s="511"/>
      <c r="M21" s="511"/>
      <c r="N21" s="511"/>
      <c r="O21" s="511"/>
      <c r="P21" s="511"/>
      <c r="Q21" s="117"/>
      <c r="R21" s="117"/>
      <c r="S21" s="117"/>
      <c r="T21" s="144"/>
      <c r="U21" s="144"/>
      <c r="V21" s="144"/>
      <c r="W21" s="144"/>
      <c r="X21" s="144"/>
      <c r="Y21" s="117"/>
      <c r="Z21" s="144"/>
      <c r="AA21" s="144"/>
      <c r="AB21" s="144"/>
      <c r="AD21" s="144"/>
      <c r="AO21" s="144"/>
    </row>
    <row r="22" spans="1:41" ht="39.950000000000003" customHeight="1" x14ac:dyDescent="0.2">
      <c r="A22" s="346" t="str">
        <f t="shared" si="0"/>
        <v>&gt;</v>
      </c>
      <c r="B22" s="354" t="str">
        <f>'Activity database'!A46</f>
        <v>Retail - Staff office area and staffroom</v>
      </c>
      <c r="C22" s="623" t="str">
        <f>VLOOKUP(B22,'Activity database'!A:B,2,FALSE)</f>
        <v>Staff office space and staffroom, often located in 'back of house' areas.</v>
      </c>
      <c r="D22" s="623"/>
      <c r="E22" s="623"/>
      <c r="F22" s="261" t="s">
        <v>654</v>
      </c>
      <c r="G22" s="262"/>
      <c r="H22" s="511"/>
      <c r="I22" s="511"/>
      <c r="J22" s="511"/>
      <c r="K22" s="511"/>
      <c r="L22" s="511"/>
      <c r="M22" s="511"/>
      <c r="N22" s="511"/>
      <c r="O22" s="511"/>
      <c r="P22" s="511"/>
      <c r="Q22" s="117"/>
      <c r="R22" s="117"/>
      <c r="S22" s="117"/>
      <c r="T22" s="144"/>
      <c r="U22" s="144"/>
      <c r="V22" s="144"/>
      <c r="W22" s="144"/>
      <c r="X22" s="144"/>
      <c r="Y22" s="117"/>
      <c r="Z22" s="144"/>
      <c r="AA22" s="144"/>
      <c r="AB22" s="144"/>
      <c r="AD22" s="144"/>
      <c r="AO22" s="144"/>
    </row>
    <row r="23" spans="1:41" ht="39.950000000000003" customHeight="1" x14ac:dyDescent="0.2">
      <c r="A23" s="346" t="str">
        <f t="shared" si="0"/>
        <v>&gt;</v>
      </c>
      <c r="B23" s="354" t="str">
        <f>'Activity database'!A47</f>
        <v>Retail - Staff canteen dining area</v>
      </c>
      <c r="C23" s="605" t="str">
        <f>VLOOKUP(B23,'Activity database'!A:B,2,FALSE)</f>
        <v>Seated areas in a staff canteen that accompany a food preparation areas where food and drink is consumed by staff on the premises.</v>
      </c>
      <c r="D23" s="605"/>
      <c r="E23" s="605"/>
      <c r="F23" s="261" t="s">
        <v>654</v>
      </c>
      <c r="G23" s="262"/>
      <c r="H23" s="606" t="s">
        <v>820</v>
      </c>
      <c r="I23" s="624"/>
      <c r="J23" s="624"/>
      <c r="K23" s="624"/>
      <c r="L23" s="624"/>
      <c r="M23" s="624"/>
      <c r="N23" s="624"/>
      <c r="O23" s="624"/>
      <c r="P23" s="624"/>
      <c r="Q23" s="144"/>
      <c r="R23" s="144"/>
      <c r="S23" s="144"/>
      <c r="T23" s="144"/>
      <c r="U23" s="144"/>
      <c r="V23" s="144"/>
      <c r="W23" s="144"/>
      <c r="X23" s="144"/>
      <c r="Y23" s="117"/>
      <c r="Z23" s="153"/>
      <c r="AA23" s="153"/>
      <c r="AB23" s="153"/>
      <c r="AC23" s="153"/>
      <c r="AD23" s="144"/>
      <c r="AO23" s="144"/>
    </row>
    <row r="24" spans="1:41" ht="39.950000000000003" customHeight="1" x14ac:dyDescent="0.2">
      <c r="A24" s="346" t="str">
        <f t="shared" si="0"/>
        <v>&gt;</v>
      </c>
      <c r="B24" s="354" t="str">
        <f>'Activity database'!A48</f>
        <v>Retail - Goods-in and storage area</v>
      </c>
      <c r="C24" s="605" t="str">
        <f>VLOOKUP(B24,'Activity database'!A:B,2,FALSE)</f>
        <v>Internal areas for receiving and storing goods.</v>
      </c>
      <c r="D24" s="605"/>
      <c r="E24" s="605"/>
      <c r="F24" s="261" t="s">
        <v>654</v>
      </c>
      <c r="G24" s="262"/>
      <c r="H24" s="515"/>
      <c r="I24" s="513"/>
      <c r="J24" s="513"/>
      <c r="K24" s="513"/>
      <c r="L24" s="513"/>
      <c r="M24" s="513"/>
      <c r="N24" s="513"/>
      <c r="O24" s="513"/>
      <c r="P24" s="513"/>
      <c r="Q24" s="144"/>
      <c r="R24" s="144"/>
      <c r="S24" s="144"/>
      <c r="T24" s="144"/>
      <c r="U24" s="144"/>
      <c r="V24" s="144"/>
      <c r="W24" s="144"/>
      <c r="X24" s="144"/>
      <c r="Z24" s="154"/>
      <c r="AA24" s="154"/>
      <c r="AB24" s="154"/>
      <c r="AC24" s="154"/>
      <c r="AD24" s="144"/>
      <c r="AO24" s="144"/>
    </row>
    <row r="25" spans="1:41" ht="39.950000000000003" customHeight="1" x14ac:dyDescent="0.2">
      <c r="A25" s="346" t="str">
        <f t="shared" si="0"/>
        <v>&gt;</v>
      </c>
      <c r="B25" s="354" t="str">
        <f>'Activity database'!A49</f>
        <v>Retail - Workshop</v>
      </c>
      <c r="C25" s="623" t="str">
        <f>VLOOKUP(B25,'Activity database'!A:B,2,FALSE)</f>
        <v>A workshop / vehicle servicing area within a car showroom or general workshop in other type of retail development.</v>
      </c>
      <c r="D25" s="623"/>
      <c r="E25" s="623"/>
      <c r="F25" s="261" t="s">
        <v>654</v>
      </c>
      <c r="G25" s="262"/>
      <c r="H25" s="509"/>
      <c r="I25" s="511"/>
      <c r="J25" s="511"/>
      <c r="K25" s="511"/>
      <c r="L25" s="511"/>
      <c r="M25" s="511"/>
      <c r="N25" s="511"/>
      <c r="O25" s="511"/>
      <c r="P25" s="511"/>
      <c r="Q25" s="117"/>
      <c r="R25" s="117"/>
      <c r="S25" s="117"/>
      <c r="T25" s="144"/>
      <c r="U25" s="144"/>
      <c r="V25" s="144"/>
      <c r="W25" s="144"/>
      <c r="X25" s="144"/>
      <c r="Y25" s="117"/>
      <c r="Z25" s="144"/>
      <c r="AA25" s="144"/>
      <c r="AB25" s="144"/>
      <c r="AD25" s="144"/>
      <c r="AO25" s="144"/>
    </row>
    <row r="26" spans="1:41" ht="24.95" customHeight="1" x14ac:dyDescent="0.2">
      <c r="A26" s="113"/>
      <c r="B26" s="322"/>
      <c r="C26" s="113"/>
      <c r="D26" s="113"/>
      <c r="E26" s="113"/>
      <c r="F26" s="113"/>
      <c r="G26" s="114"/>
      <c r="I26" s="144"/>
      <c r="J26" s="144"/>
      <c r="K26" s="144"/>
      <c r="L26" s="144"/>
      <c r="M26" s="144"/>
      <c r="N26" s="144"/>
      <c r="O26" s="144"/>
      <c r="P26" s="144"/>
      <c r="Q26" s="144"/>
      <c r="R26" s="144"/>
      <c r="S26" s="144"/>
      <c r="T26" s="144"/>
      <c r="U26" s="117"/>
      <c r="V26" s="117"/>
      <c r="W26" s="117"/>
      <c r="X26" s="117"/>
      <c r="Y26" s="193"/>
      <c r="Z26" s="155"/>
      <c r="AA26" s="155"/>
      <c r="AB26" s="155"/>
      <c r="AC26" s="155"/>
      <c r="AD26" s="144"/>
      <c r="AO26" s="144"/>
    </row>
    <row r="27" spans="1:41" ht="32.1" customHeight="1" x14ac:dyDescent="0.2">
      <c r="A27" s="113"/>
      <c r="B27" s="516" t="s">
        <v>698</v>
      </c>
      <c r="C27" s="516"/>
      <c r="D27" s="516"/>
      <c r="E27" s="516"/>
      <c r="F27" s="516"/>
      <c r="G27" s="516"/>
      <c r="I27" s="144"/>
      <c r="J27" s="144"/>
      <c r="K27" s="144"/>
      <c r="L27" s="144"/>
      <c r="M27" s="144"/>
      <c r="N27" s="144"/>
      <c r="O27" s="144"/>
      <c r="P27" s="144"/>
      <c r="Q27" s="148"/>
      <c r="R27" s="148"/>
      <c r="S27" s="148"/>
      <c r="T27" s="148"/>
      <c r="U27" s="113"/>
      <c r="V27" s="113"/>
      <c r="W27" s="113"/>
      <c r="X27" s="113"/>
      <c r="Y27" s="113"/>
      <c r="Z27" s="148"/>
      <c r="AA27" s="148"/>
      <c r="AB27" s="148"/>
      <c r="AC27" s="148"/>
      <c r="AD27" s="148"/>
      <c r="AO27" s="144"/>
    </row>
    <row r="28" spans="1:41" ht="24.95" customHeight="1" x14ac:dyDescent="0.2">
      <c r="A28" s="113"/>
      <c r="B28" s="320"/>
      <c r="C28" s="113"/>
      <c r="D28" s="113"/>
      <c r="E28" s="113"/>
      <c r="F28" s="113"/>
      <c r="G28" s="114"/>
      <c r="I28" s="144"/>
      <c r="J28" s="144"/>
      <c r="K28" s="144"/>
      <c r="L28" s="144"/>
      <c r="M28" s="144"/>
      <c r="N28" s="144"/>
      <c r="O28" s="144"/>
      <c r="P28" s="144"/>
      <c r="Q28" s="148"/>
      <c r="R28" s="148"/>
      <c r="S28" s="148"/>
      <c r="T28" s="148"/>
      <c r="U28" s="113"/>
      <c r="V28" s="117"/>
      <c r="W28" s="117"/>
      <c r="X28" s="117"/>
      <c r="Y28" s="117"/>
      <c r="Z28" s="117"/>
      <c r="AA28" s="117"/>
      <c r="AB28" s="117"/>
      <c r="AC28" s="117"/>
      <c r="AD28" s="144"/>
      <c r="AO28" s="144"/>
    </row>
    <row r="29" spans="1:41" ht="24.95" customHeight="1" x14ac:dyDescent="0.2">
      <c r="A29" s="113"/>
      <c r="B29" s="517" t="s">
        <v>536</v>
      </c>
      <c r="C29" s="538" t="s">
        <v>524</v>
      </c>
      <c r="D29" s="538" t="s">
        <v>621</v>
      </c>
      <c r="E29" s="538" t="s">
        <v>378</v>
      </c>
      <c r="F29" s="538" t="s">
        <v>284</v>
      </c>
      <c r="G29" s="538" t="s">
        <v>396</v>
      </c>
      <c r="I29" s="148"/>
      <c r="J29" s="148"/>
      <c r="K29" s="148"/>
      <c r="L29" s="148"/>
      <c r="M29" s="148"/>
      <c r="N29" s="148"/>
      <c r="O29" s="139" t="s">
        <v>536</v>
      </c>
      <c r="P29" s="139" t="s">
        <v>81</v>
      </c>
      <c r="Q29" s="139" t="s">
        <v>378</v>
      </c>
      <c r="R29" s="139" t="s">
        <v>284</v>
      </c>
      <c r="S29" s="139" t="s">
        <v>82</v>
      </c>
      <c r="T29" s="148"/>
      <c r="U29" s="113"/>
      <c r="V29" s="117"/>
      <c r="W29" s="117"/>
      <c r="X29" s="117"/>
      <c r="Y29" s="113"/>
      <c r="Z29" s="148"/>
      <c r="AA29" s="144"/>
      <c r="AB29" s="144"/>
      <c r="AD29" s="144"/>
      <c r="AO29" s="144"/>
    </row>
    <row r="30" spans="1:41" ht="15" customHeight="1" x14ac:dyDescent="0.2">
      <c r="A30" s="346" t="str">
        <f>IF(B30=$R$130,"&gt;","")</f>
        <v>&gt;</v>
      </c>
      <c r="B30" s="263" t="s">
        <v>654</v>
      </c>
      <c r="C30" s="120" t="s">
        <v>525</v>
      </c>
      <c r="D30" s="264"/>
      <c r="E30" s="121" t="str">
        <f>IF(OR(B13=R130,B30=R130),R138,IF(B30=S131,VLOOKUP($B$13,'Activity database'!$A:$AN,9,FALSE),IF(B30=S132,VLOOKUP($B$13,'Activity database'!$A:$BY,10,FALSE))))</f>
        <v>Requires building information</v>
      </c>
      <c r="F30" s="121" t="str">
        <f>IF(B13=R130,R138,VLOOKUP($B$13,'Activity database'!$A:$BY,27,FALSE))</f>
        <v>Requires building information</v>
      </c>
      <c r="G30" s="119" t="str">
        <f>IF(ISERROR((D30*E30*F30*(VLOOKUP(B13,'Activity database'!A:BA,7,FALSE)))),R138,(D30*E30*F30*(VLOOKUP(B13,'Activity database'!A:BA,7,FALSE))))</f>
        <v>Requires building information</v>
      </c>
      <c r="H30" s="347" t="str">
        <f>IF(B30=S130,"Note: please seelct the relevant option for WC component opposite","")</f>
        <v>Note: please seelct the relevant option for WC component opposite</v>
      </c>
      <c r="I30" s="148"/>
      <c r="J30" s="148"/>
      <c r="K30" s="148"/>
      <c r="L30" s="148"/>
      <c r="M30" s="148"/>
      <c r="N30" s="148"/>
      <c r="O30" s="205" t="str">
        <f>B30</f>
        <v>Please select</v>
      </c>
      <c r="P30" s="121">
        <f>IF($D$30="",0,VLOOKUP($O$30,'Activity database'!$AT:$BA,2,FALSE))</f>
        <v>0</v>
      </c>
      <c r="Q30" s="121" t="str">
        <f>E30</f>
        <v>Requires building information</v>
      </c>
      <c r="R30" s="121" t="str">
        <f>F30</f>
        <v>Requires building information</v>
      </c>
      <c r="S30" s="119">
        <f>IF($D$30="",0,P30*$Q$30*$R$30*(VLOOKUP($B$13,'Activity database'!$A:$BA,7,FALSE)))</f>
        <v>0</v>
      </c>
      <c r="T30" s="148"/>
      <c r="U30" s="113"/>
      <c r="V30" s="117"/>
      <c r="W30" s="117"/>
      <c r="X30" s="117"/>
      <c r="Y30" s="113"/>
      <c r="Z30" s="148"/>
      <c r="AA30" s="144"/>
      <c r="AB30" s="144"/>
      <c r="AD30" s="144"/>
      <c r="AO30" s="144"/>
    </row>
    <row r="31" spans="1:41" ht="15" customHeight="1" x14ac:dyDescent="0.2">
      <c r="A31" s="113"/>
      <c r="B31" s="128" t="str">
        <f>'Activity database'!K3</f>
        <v>WC - female</v>
      </c>
      <c r="C31" s="120" t="s">
        <v>525</v>
      </c>
      <c r="D31" s="264"/>
      <c r="E31" s="121" t="str">
        <f>IF(B13=R130,R138,VLOOKUP($B$13,'Activity database'!$A:$BY,11,FALSE))</f>
        <v>Requires building information</v>
      </c>
      <c r="F31" s="121" t="str">
        <f>IF(B13=R130,R138,VLOOKUP($B$13,'Activity database'!$A:$BY,27,FALSE))</f>
        <v>Requires building information</v>
      </c>
      <c r="G31" s="119" t="str">
        <f>IF(ISERROR(IF(B13=R130,R138,D31*E31*F31*(VLOOKUP(B13,'Activity database'!A:BA,8,FALSE)))),R138,IF(B13=R130,R138,D31*E31*F31*(VLOOKUP(B13,'Activity database'!A:BA,8,FALSE))))</f>
        <v>Requires building information</v>
      </c>
      <c r="H31" s="603" t="s">
        <v>678</v>
      </c>
      <c r="I31" s="603"/>
      <c r="J31" s="603"/>
      <c r="K31" s="603"/>
      <c r="L31" s="603"/>
      <c r="M31" s="603"/>
      <c r="N31" s="514"/>
      <c r="O31" s="283" t="str">
        <f>B31</f>
        <v>WC - female</v>
      </c>
      <c r="P31" s="121">
        <f>IF($D$31="",0,VLOOKUP($O$31,'Activity database'!$AT:$BA,2,FALSE))</f>
        <v>0</v>
      </c>
      <c r="Q31" s="121" t="str">
        <f>E31</f>
        <v>Requires building information</v>
      </c>
      <c r="R31" s="121" t="str">
        <f>F31</f>
        <v>Requires building information</v>
      </c>
      <c r="S31" s="119">
        <f>IF($D$31="",0,P31*$Q$31*$R$31*(VLOOKUP($B$13,'Activity database'!$A:$BA,8,FALSE)))</f>
        <v>0</v>
      </c>
      <c r="T31" s="148"/>
      <c r="U31" s="113"/>
      <c r="V31" s="117"/>
      <c r="W31" s="117"/>
      <c r="X31" s="117"/>
      <c r="Y31" s="113"/>
      <c r="Z31" s="148"/>
      <c r="AA31" s="144"/>
      <c r="AB31" s="144"/>
      <c r="AD31" s="144"/>
      <c r="AO31" s="144"/>
    </row>
    <row r="32" spans="1:41" ht="12.75" customHeight="1" x14ac:dyDescent="0.2">
      <c r="A32" s="113"/>
      <c r="B32" s="113"/>
      <c r="C32" s="113"/>
      <c r="D32" s="113"/>
      <c r="E32" s="113"/>
      <c r="F32" s="113"/>
      <c r="G32" s="114"/>
      <c r="H32" s="603"/>
      <c r="I32" s="603"/>
      <c r="J32" s="603"/>
      <c r="K32" s="603"/>
      <c r="L32" s="603"/>
      <c r="M32" s="603"/>
      <c r="N32" s="514"/>
      <c r="O32" s="148"/>
      <c r="P32" s="148"/>
      <c r="Q32" s="148"/>
      <c r="R32" s="148"/>
      <c r="S32" s="148"/>
      <c r="T32" s="148"/>
      <c r="U32" s="113"/>
      <c r="V32" s="117"/>
      <c r="W32" s="117"/>
      <c r="X32" s="117"/>
      <c r="Y32" s="113"/>
      <c r="Z32" s="148"/>
      <c r="AA32" s="144"/>
      <c r="AB32" s="144"/>
      <c r="AD32" s="144"/>
      <c r="AO32" s="144"/>
    </row>
    <row r="33" spans="1:41" ht="24.95" customHeight="1" x14ac:dyDescent="0.2">
      <c r="A33" s="113"/>
      <c r="B33" s="517" t="s">
        <v>90</v>
      </c>
      <c r="C33" s="538" t="s">
        <v>524</v>
      </c>
      <c r="D33" s="538" t="s">
        <v>621</v>
      </c>
      <c r="E33" s="538" t="s">
        <v>615</v>
      </c>
      <c r="F33" s="538" t="s">
        <v>87</v>
      </c>
      <c r="G33" s="538" t="s">
        <v>396</v>
      </c>
      <c r="H33" s="603"/>
      <c r="I33" s="603"/>
      <c r="J33" s="603"/>
      <c r="K33" s="603"/>
      <c r="L33" s="603"/>
      <c r="M33" s="603"/>
      <c r="N33" s="514"/>
      <c r="O33" s="324" t="s">
        <v>90</v>
      </c>
      <c r="P33" s="138" t="s">
        <v>81</v>
      </c>
      <c r="Q33" s="138" t="s">
        <v>84</v>
      </c>
      <c r="R33" s="138" t="s">
        <v>83</v>
      </c>
      <c r="S33" s="138" t="s">
        <v>82</v>
      </c>
      <c r="T33" s="148"/>
      <c r="U33" s="113"/>
      <c r="V33" s="117"/>
      <c r="W33" s="117"/>
      <c r="X33" s="117"/>
      <c r="Y33" s="113"/>
      <c r="Z33" s="148"/>
      <c r="AA33" s="144"/>
      <c r="AB33" s="144"/>
      <c r="AD33" s="144"/>
      <c r="AO33" s="144"/>
    </row>
    <row r="34" spans="1:41" ht="15" customHeight="1" x14ac:dyDescent="0.2">
      <c r="A34" s="346" t="str">
        <f>IF(AND(D34&gt;0,OR(E34="",F34="")),"&gt;","")</f>
        <v/>
      </c>
      <c r="B34" s="610" t="s">
        <v>752</v>
      </c>
      <c r="C34" s="120" t="s">
        <v>614</v>
      </c>
      <c r="D34" s="264"/>
      <c r="E34" s="265"/>
      <c r="F34" s="265"/>
      <c r="G34" s="119" t="str">
        <f>IF(B13=R130,R138,IF(OR(D34=0,E34=0,F34=0,B30=S132),0,(D34*E34*F34*G13)/O140))</f>
        <v>Requires building information</v>
      </c>
      <c r="H34" s="158"/>
      <c r="I34" s="159"/>
      <c r="J34" s="159"/>
      <c r="K34" s="159"/>
      <c r="L34" s="159"/>
      <c r="O34" s="342" t="str">
        <f>B34</f>
        <v>Automatically operated flushing cistern</v>
      </c>
      <c r="P34" s="341">
        <f>IF($D$34=0,0,IF($D$35=1,'Activity database'!$AU$11,'Activity database'!$AU$10))</f>
        <v>0</v>
      </c>
      <c r="Q34" s="116" t="e">
        <f>P34*$G$13</f>
        <v>#N/A</v>
      </c>
      <c r="R34" s="121" t="e">
        <f>Q34*$D$35</f>
        <v>#N/A</v>
      </c>
      <c r="S34" s="121" t="e">
        <f>IF(B30=S132,0,$R$34/O140)</f>
        <v>#N/A</v>
      </c>
      <c r="T34" s="148"/>
      <c r="U34" s="113"/>
      <c r="V34" s="117"/>
      <c r="W34" s="117"/>
      <c r="X34" s="117"/>
      <c r="Y34" s="113"/>
      <c r="Z34" s="148"/>
      <c r="AA34" s="144"/>
      <c r="AB34" s="144"/>
      <c r="AD34" s="144"/>
      <c r="AO34" s="144"/>
    </row>
    <row r="35" spans="1:41" ht="15" customHeight="1" x14ac:dyDescent="0.2">
      <c r="A35" s="346" t="str">
        <f>IF(AND(D34&gt;0,D35=""),"&gt;","")</f>
        <v/>
      </c>
      <c r="B35" s="611"/>
      <c r="C35" s="120" t="s">
        <v>88</v>
      </c>
      <c r="D35" s="264"/>
      <c r="E35" s="117"/>
      <c r="F35" s="117"/>
      <c r="G35" s="117"/>
      <c r="I35" s="148"/>
      <c r="J35" s="148"/>
      <c r="K35" s="148"/>
      <c r="L35" s="148"/>
      <c r="M35" s="160"/>
      <c r="N35" s="160"/>
      <c r="O35" s="117"/>
      <c r="P35" s="117"/>
      <c r="Q35" s="117"/>
      <c r="R35" s="117"/>
      <c r="S35" s="117"/>
      <c r="T35" s="148"/>
      <c r="U35" s="113"/>
      <c r="V35" s="113"/>
      <c r="W35" s="140"/>
      <c r="X35" s="113"/>
      <c r="Y35" s="113"/>
      <c r="Z35" s="148"/>
      <c r="AA35" s="144"/>
      <c r="AB35" s="144"/>
      <c r="AD35" s="144"/>
      <c r="AO35" s="144"/>
    </row>
    <row r="36" spans="1:41" ht="24.95" customHeight="1" x14ac:dyDescent="0.2">
      <c r="A36" s="113"/>
      <c r="B36" s="517"/>
      <c r="C36" s="538" t="s">
        <v>524</v>
      </c>
      <c r="D36" s="538" t="s">
        <v>621</v>
      </c>
      <c r="E36" s="538" t="s">
        <v>378</v>
      </c>
      <c r="F36" s="538" t="s">
        <v>284</v>
      </c>
      <c r="G36" s="538" t="s">
        <v>396</v>
      </c>
      <c r="H36" s="158"/>
      <c r="I36" s="148"/>
      <c r="J36" s="148"/>
      <c r="K36" s="148"/>
      <c r="L36" s="148"/>
      <c r="M36" s="148"/>
      <c r="N36" s="148"/>
      <c r="O36" s="324" t="s">
        <v>90</v>
      </c>
      <c r="P36" s="138" t="s">
        <v>81</v>
      </c>
      <c r="Q36" s="138" t="s">
        <v>378</v>
      </c>
      <c r="R36" s="138" t="s">
        <v>284</v>
      </c>
      <c r="S36" s="138" t="s">
        <v>82</v>
      </c>
      <c r="T36" s="148"/>
      <c r="U36" s="113"/>
      <c r="V36" s="113"/>
      <c r="W36" s="140"/>
      <c r="X36" s="113"/>
      <c r="Y36" s="113"/>
      <c r="Z36" s="148"/>
      <c r="AA36" s="144"/>
      <c r="AB36" s="144"/>
      <c r="AD36" s="144"/>
      <c r="AO36" s="144"/>
    </row>
    <row r="37" spans="1:41" ht="15" customHeight="1" x14ac:dyDescent="0.2">
      <c r="A37" s="113"/>
      <c r="B37" s="610" t="s">
        <v>751</v>
      </c>
      <c r="C37" s="120" t="s">
        <v>539</v>
      </c>
      <c r="D37" s="265"/>
      <c r="E37" s="121" t="str">
        <f>IF(B13=R130,R138,VLOOKUP($B$13,'Activity database'!$A:$AN,12,FALSE))</f>
        <v>Requires building information</v>
      </c>
      <c r="F37" s="121" t="str">
        <f>IF(B13=R130,R138,VLOOKUP($B$13,'Activity database'!$A:$AN,28,FALSE))</f>
        <v>Requires building information</v>
      </c>
      <c r="G37" s="119" t="str">
        <f>IF(ISERROR(IF(B13=R130,R138,IF(OR(D37=0,E37=0,F37=0,B30=S132),0,(D37*E37*F37)*(VLOOKUP(B13,'Activity database'!A:BA,7,FALSE))*(D38/(D35+D38+D41))))),R138,IF(B13=R130,R138,IF(OR(D37=0,E37=0,F37=0,B30=S132),0,(D37*E37*F37)*(VLOOKUP(B13,'Activity database'!A:BA,7,FALSE))*(D38/(D35+D38+D41)))))</f>
        <v>Requires building information</v>
      </c>
      <c r="H37" s="603" t="str">
        <f>IF(B30=S132,"",O153)</f>
        <v>Note: This consumption total accounts for the ratio of male users for this building type i.e. the ratio of building users who will operate the flush. Where more than one type of urinal flushing control is specified in the building, this consumption figure is adjusted by a ratio of use. the ratio is determined according to the proportion of urinals bowls in the building operated using this type of control.</v>
      </c>
      <c r="I37" s="603"/>
      <c r="J37" s="603"/>
      <c r="K37" s="603"/>
      <c r="L37" s="603"/>
      <c r="M37" s="603"/>
      <c r="N37" s="514"/>
      <c r="O37" s="340" t="str">
        <f>B37</f>
        <v>Manual/automatic operated pressure flushing valve (all activity areas)</v>
      </c>
      <c r="P37" s="116">
        <f>'Activity database'!$AU$12</f>
        <v>1.5</v>
      </c>
      <c r="Q37" s="121" t="str">
        <f>E37</f>
        <v>Requires building information</v>
      </c>
      <c r="R37" s="121" t="str">
        <f>F37</f>
        <v>Requires building information</v>
      </c>
      <c r="S37" s="121" t="e">
        <f>IF(B30=S132,0,IF($D$37="",0,$P$37*$Q$37*$R$37*(VLOOKUP(B13,'Activity database'!$A:$BA,7,FALSE)))*(D38/(D35+D38+D41)))</f>
        <v>#DIV/0!</v>
      </c>
      <c r="T37" s="148"/>
      <c r="U37" s="113"/>
      <c r="V37" s="113"/>
      <c r="W37" s="140"/>
      <c r="X37" s="113"/>
      <c r="Y37" s="113"/>
      <c r="Z37" s="148"/>
      <c r="AA37" s="148"/>
      <c r="AB37" s="148"/>
      <c r="AC37" s="148"/>
      <c r="AD37" s="144"/>
      <c r="AO37" s="144"/>
    </row>
    <row r="38" spans="1:41" ht="15" customHeight="1" x14ac:dyDescent="0.2">
      <c r="A38" s="346" t="str">
        <f>IF(AND(D37&gt;0,D38=""),"&gt;","")</f>
        <v/>
      </c>
      <c r="B38" s="612"/>
      <c r="C38" s="122" t="s">
        <v>88</v>
      </c>
      <c r="D38" s="264"/>
      <c r="E38" s="117"/>
      <c r="F38" s="117"/>
      <c r="G38" s="117"/>
      <c r="H38" s="603"/>
      <c r="I38" s="603"/>
      <c r="J38" s="603"/>
      <c r="K38" s="603"/>
      <c r="L38" s="603"/>
      <c r="M38" s="603"/>
      <c r="N38" s="514"/>
      <c r="O38" s="140"/>
      <c r="P38" s="333"/>
      <c r="Q38" s="117"/>
      <c r="R38" s="117"/>
      <c r="S38" s="117"/>
      <c r="T38" s="148"/>
      <c r="U38" s="113"/>
      <c r="V38" s="113"/>
      <c r="W38" s="113"/>
      <c r="X38" s="113"/>
      <c r="Y38" s="117"/>
      <c r="Z38" s="144"/>
      <c r="AA38" s="144"/>
      <c r="AB38" s="144"/>
      <c r="AD38" s="144"/>
      <c r="AO38" s="144"/>
    </row>
    <row r="39" spans="1:41" ht="24.95" customHeight="1" x14ac:dyDescent="0.2">
      <c r="A39" s="113"/>
      <c r="B39" s="517"/>
      <c r="C39" s="538" t="s">
        <v>524</v>
      </c>
      <c r="D39" s="538"/>
      <c r="E39" s="538" t="s">
        <v>378</v>
      </c>
      <c r="F39" s="538" t="s">
        <v>284</v>
      </c>
      <c r="G39" s="538" t="s">
        <v>396</v>
      </c>
      <c r="H39" s="603"/>
      <c r="I39" s="603"/>
      <c r="J39" s="603"/>
      <c r="K39" s="603"/>
      <c r="L39" s="603"/>
      <c r="M39" s="603"/>
      <c r="N39" s="514"/>
      <c r="O39" s="324" t="s">
        <v>90</v>
      </c>
      <c r="P39" s="138" t="s">
        <v>81</v>
      </c>
      <c r="Q39" s="138" t="s">
        <v>378</v>
      </c>
      <c r="R39" s="138" t="s">
        <v>284</v>
      </c>
      <c r="S39" s="138" t="s">
        <v>82</v>
      </c>
      <c r="T39" s="148"/>
      <c r="U39" s="113"/>
      <c r="V39" s="113"/>
      <c r="W39" s="113"/>
      <c r="X39" s="113"/>
      <c r="Y39" s="113"/>
      <c r="Z39" s="148"/>
      <c r="AA39" s="148"/>
      <c r="AB39" s="148"/>
      <c r="AC39" s="148"/>
      <c r="AD39" s="144"/>
      <c r="AO39" s="144"/>
    </row>
    <row r="40" spans="1:41" ht="15" customHeight="1" x14ac:dyDescent="0.2">
      <c r="A40" s="346" t="str">
        <f>IF(B30=S132,"",IF(D40=$R$130,"&gt;",""))</f>
        <v>&gt;</v>
      </c>
      <c r="B40" s="610" t="s">
        <v>89</v>
      </c>
      <c r="C40" s="120" t="s">
        <v>539</v>
      </c>
      <c r="D40" s="261" t="s">
        <v>654</v>
      </c>
      <c r="E40" s="121" t="str">
        <f>IF(B13=R130,R138,VLOOKUP($B$13,'Activity database'!$A:$AN,12,FALSE))</f>
        <v>Requires building information</v>
      </c>
      <c r="F40" s="121" t="str">
        <f>IF(B13=R130,R138,VLOOKUP($B$13,'Activity database'!$A:$AN,28,FALSE))</f>
        <v>Requires building information</v>
      </c>
      <c r="G40" s="119" t="str">
        <f>IF(B13=R130,R138,0)</f>
        <v>Requires building information</v>
      </c>
      <c r="H40" s="604" t="str">
        <f>IF(OR(B30=S132,B30=S130,D40=Q132),"",IF(AND(D40=Q131,D41&gt;0),O154,IF(OR(D40=S130,D40=Q131),O155)))</f>
        <v/>
      </c>
      <c r="I40" s="604"/>
      <c r="J40" s="604"/>
      <c r="K40" s="604"/>
      <c r="L40" s="604"/>
      <c r="M40" s="604"/>
      <c r="N40" s="502"/>
      <c r="O40" s="340" t="str">
        <f>B40</f>
        <v>Waterless urinals (all activity areas)</v>
      </c>
      <c r="P40" s="343">
        <f>'Activity database'!$AU$12</f>
        <v>1.5</v>
      </c>
      <c r="Q40" s="121" t="str">
        <f>E40</f>
        <v>Requires building information</v>
      </c>
      <c r="R40" s="121" t="str">
        <f>F40</f>
        <v>Requires building information</v>
      </c>
      <c r="S40" s="121" t="e">
        <f>IF(B30=S132,0,IF(OR($D$40="",$D$40=Q130,$D$40=Q132),0,$P$40*$Q$40*$R$40*(VLOOKUP(B13,'Activity database'!$A:$BA,7,FALSE)))*(D41/(D35+D38+D41)))</f>
        <v>#DIV/0!</v>
      </c>
      <c r="T40" s="148"/>
      <c r="U40" s="148"/>
      <c r="V40" s="148"/>
      <c r="W40" s="148"/>
      <c r="X40" s="148"/>
      <c r="Y40" s="148"/>
      <c r="Z40" s="148"/>
      <c r="AA40" s="148"/>
      <c r="AB40" s="148"/>
      <c r="AC40" s="148"/>
      <c r="AD40" s="144"/>
      <c r="AO40" s="144"/>
    </row>
    <row r="41" spans="1:41" ht="15" customHeight="1" x14ac:dyDescent="0.2">
      <c r="A41" s="346" t="str">
        <f>IF(AND(D40=Q131,D41=""),"&gt;","")</f>
        <v/>
      </c>
      <c r="B41" s="612"/>
      <c r="C41" s="122" t="s">
        <v>88</v>
      </c>
      <c r="D41" s="264"/>
      <c r="E41" s="117"/>
      <c r="F41" s="117"/>
      <c r="G41" s="117"/>
      <c r="H41" s="604"/>
      <c r="I41" s="604"/>
      <c r="J41" s="604"/>
      <c r="K41" s="604"/>
      <c r="L41" s="604"/>
      <c r="M41" s="604"/>
      <c r="N41" s="502"/>
      <c r="O41" s="148"/>
      <c r="P41" s="148"/>
      <c r="Q41" s="148"/>
      <c r="R41" s="148"/>
      <c r="S41" s="148"/>
      <c r="T41" s="148"/>
      <c r="U41" s="113"/>
      <c r="V41" s="113"/>
      <c r="W41" s="113"/>
      <c r="X41" s="113"/>
      <c r="Y41" s="113"/>
      <c r="Z41" s="113"/>
      <c r="AA41" s="113"/>
      <c r="AB41" s="113"/>
      <c r="AC41" s="148"/>
      <c r="AD41" s="144"/>
      <c r="AO41" s="144"/>
    </row>
    <row r="42" spans="1:41" ht="18" customHeight="1" x14ac:dyDescent="0.2">
      <c r="A42" s="113"/>
      <c r="B42" s="113"/>
      <c r="C42" s="113"/>
      <c r="D42" s="113"/>
      <c r="E42" s="113"/>
      <c r="F42" s="113"/>
      <c r="G42" s="114"/>
      <c r="H42" s="604"/>
      <c r="I42" s="604"/>
      <c r="J42" s="604"/>
      <c r="K42" s="604"/>
      <c r="L42" s="604"/>
      <c r="M42" s="604"/>
      <c r="N42" s="502"/>
      <c r="O42" s="148"/>
      <c r="P42" s="113"/>
      <c r="Q42" s="113"/>
      <c r="R42" s="113"/>
      <c r="S42" s="113"/>
      <c r="T42" s="113"/>
      <c r="U42" s="113"/>
      <c r="V42" s="113"/>
      <c r="W42" s="113"/>
      <c r="X42" s="113"/>
      <c r="Y42" s="113"/>
      <c r="Z42" s="113"/>
      <c r="AA42" s="113"/>
      <c r="AB42" s="113"/>
      <c r="AC42" s="148"/>
      <c r="AD42" s="144"/>
      <c r="AO42" s="144"/>
    </row>
    <row r="43" spans="1:41" ht="24.95" customHeight="1" x14ac:dyDescent="0.2">
      <c r="A43" s="113"/>
      <c r="B43" s="113"/>
      <c r="C43" s="538" t="s">
        <v>524</v>
      </c>
      <c r="D43" s="538" t="s">
        <v>621</v>
      </c>
      <c r="E43" s="538" t="s">
        <v>378</v>
      </c>
      <c r="F43" s="538" t="s">
        <v>284</v>
      </c>
      <c r="G43" s="538" t="s">
        <v>396</v>
      </c>
      <c r="I43" s="117"/>
      <c r="J43" s="148"/>
      <c r="K43" s="148"/>
      <c r="L43" s="148"/>
      <c r="M43" s="148"/>
      <c r="N43" s="148"/>
      <c r="O43" s="148"/>
      <c r="P43" s="117"/>
      <c r="Q43" s="117"/>
      <c r="R43" s="117"/>
      <c r="S43" s="117"/>
      <c r="T43" s="113"/>
      <c r="U43" s="113"/>
      <c r="V43" s="117"/>
      <c r="W43" s="117"/>
      <c r="X43" s="117"/>
      <c r="Y43" s="113"/>
      <c r="Z43" s="113"/>
      <c r="AA43" s="113"/>
      <c r="AB43" s="113"/>
      <c r="AC43" s="148"/>
      <c r="AD43" s="144"/>
      <c r="AO43" s="144"/>
    </row>
    <row r="44" spans="1:41" ht="24.95" customHeight="1" x14ac:dyDescent="0.2">
      <c r="A44" s="113"/>
      <c r="B44" s="519" t="s">
        <v>537</v>
      </c>
      <c r="C44" s="525"/>
      <c r="D44" s="525"/>
      <c r="E44" s="525"/>
      <c r="F44" s="525"/>
      <c r="G44" s="526"/>
      <c r="I44" s="117"/>
      <c r="J44" s="148"/>
      <c r="K44" s="148"/>
      <c r="L44" s="148"/>
      <c r="M44" s="148"/>
      <c r="N44" s="148"/>
      <c r="O44" s="143" t="s">
        <v>537</v>
      </c>
      <c r="P44" s="337" t="s">
        <v>517</v>
      </c>
      <c r="Q44" s="337" t="s">
        <v>378</v>
      </c>
      <c r="R44" s="337" t="s">
        <v>284</v>
      </c>
      <c r="S44" s="139" t="s">
        <v>82</v>
      </c>
      <c r="T44" s="148"/>
      <c r="U44" s="113"/>
      <c r="V44" s="117"/>
      <c r="W44" s="117"/>
      <c r="X44" s="117"/>
      <c r="Y44" s="113"/>
      <c r="Z44" s="113"/>
      <c r="AA44" s="113"/>
      <c r="AB44" s="113"/>
      <c r="AC44" s="148"/>
      <c r="AD44" s="144"/>
      <c r="AO44" s="144"/>
    </row>
    <row r="45" spans="1:41" ht="15" customHeight="1" x14ac:dyDescent="0.2">
      <c r="A45" s="113"/>
      <c r="B45" s="130" t="str">
        <f>'Activity database'!M3</f>
        <v>Wash hand basin taps</v>
      </c>
      <c r="C45" s="121" t="s">
        <v>526</v>
      </c>
      <c r="D45" s="264"/>
      <c r="E45" s="121" t="str">
        <f>IF(B13=R130,R138,VLOOKUP($B$13,'Activity database'!$A:$AN,13,FALSE))</f>
        <v>Requires building information</v>
      </c>
      <c r="F45" s="121" t="str">
        <f>IF(B13=R130,R138,VLOOKUP($B$13,'Activity database'!$A:$AN,29,FALSE))</f>
        <v>Requires building information</v>
      </c>
      <c r="G45" s="119" t="str">
        <f>IF(ISERROR(IF(B13=R130,R138,(D45*E45*F45)*VLOOKUP(B13,'Activity database'!A:AR,44,FALSE))),R138,IF(B13=R130,R138,(D45*E45*F45)*VLOOKUP(B13,'Activity database'!A:AR,44,FALSE)))</f>
        <v>Requires building information</v>
      </c>
      <c r="I45" s="148"/>
      <c r="J45" s="148"/>
      <c r="K45" s="148"/>
      <c r="L45" s="148"/>
      <c r="M45" s="148"/>
      <c r="N45" s="148"/>
      <c r="O45" s="329" t="str">
        <f t="shared" ref="O45:O50" si="1">B45</f>
        <v>Wash hand basin taps</v>
      </c>
      <c r="P45" s="330">
        <f>IF($D$45="",0,VLOOKUP($O$45,'Activity database'!$AT:$BA,2,FALSE))</f>
        <v>0</v>
      </c>
      <c r="Q45" s="330" t="str">
        <f t="shared" ref="Q45:R49" si="2">E45</f>
        <v>Requires building information</v>
      </c>
      <c r="R45" s="330" t="str">
        <f t="shared" si="2"/>
        <v>Requires building information</v>
      </c>
      <c r="S45" s="121">
        <f>IF($D$45="",0,(P45*$Q$45*$R$45)*(VLOOKUP($B$13,'Activity database'!$A:$AR,44,FALSE)))</f>
        <v>0</v>
      </c>
      <c r="T45" s="148"/>
      <c r="U45" s="113"/>
      <c r="V45" s="117"/>
      <c r="W45" s="117"/>
      <c r="X45" s="117"/>
      <c r="Y45" s="113"/>
      <c r="Z45" s="113"/>
      <c r="AA45" s="113"/>
      <c r="AB45" s="113"/>
      <c r="AC45" s="148"/>
      <c r="AD45" s="144"/>
      <c r="AO45" s="144"/>
    </row>
    <row r="46" spans="1:41" ht="15" customHeight="1" x14ac:dyDescent="0.2">
      <c r="A46" s="346"/>
      <c r="B46" s="130" t="str">
        <f>'Activity database'!N3</f>
        <v>Shower use</v>
      </c>
      <c r="C46" s="121" t="s">
        <v>526</v>
      </c>
      <c r="D46" s="264"/>
      <c r="E46" s="131" t="str">
        <f>IF(B13=R130,R138,VLOOKUP($B$13,'Activity database'!$A:$AN,14,FALSE))</f>
        <v>Requires building information</v>
      </c>
      <c r="F46" s="121" t="str">
        <f>IF(B13=R130,R138,VLOOKUP($B$13,'Activity database'!$A:$AN,30,FALSE))</f>
        <v>Requires building information</v>
      </c>
      <c r="G46" s="119" t="str">
        <f>IF(ISERROR(IF(B13=R130,R138,IF(B46=R130,R138,D46*E46*F46))),R138,IF(B13=R130,R138,IF(B46=R130,R138,D46*E46*F46)))</f>
        <v>Requires building information</v>
      </c>
      <c r="I46" s="148"/>
      <c r="J46" s="148"/>
      <c r="K46" s="148"/>
      <c r="L46" s="148"/>
      <c r="M46" s="148"/>
      <c r="N46" s="148"/>
      <c r="O46" s="123" t="str">
        <f t="shared" si="1"/>
        <v>Shower use</v>
      </c>
      <c r="P46" s="124">
        <f>IF($D$46="",0,'Activity database'!AU8)</f>
        <v>0</v>
      </c>
      <c r="Q46" s="125" t="str">
        <f t="shared" si="2"/>
        <v>Requires building information</v>
      </c>
      <c r="R46" s="125" t="str">
        <f t="shared" si="2"/>
        <v>Requires building information</v>
      </c>
      <c r="S46" s="121">
        <f>IF($D$46="",0,P46*$Q$46*$R$46)</f>
        <v>0</v>
      </c>
      <c r="T46" s="148"/>
      <c r="U46" s="113"/>
      <c r="V46" s="117"/>
      <c r="W46" s="117"/>
      <c r="X46" s="117"/>
      <c r="Y46" s="113"/>
      <c r="Z46" s="113"/>
      <c r="AA46" s="113"/>
      <c r="AB46" s="113"/>
      <c r="AC46" s="148"/>
      <c r="AD46" s="144"/>
      <c r="AO46" s="144"/>
    </row>
    <row r="47" spans="1:41" ht="15" hidden="1" customHeight="1" x14ac:dyDescent="0.2">
      <c r="A47" s="290" t="s">
        <v>821</v>
      </c>
      <c r="B47" s="123" t="str">
        <f>'Activity database'!O3</f>
        <v>Shower use (bath present)</v>
      </c>
      <c r="C47" s="124" t="s">
        <v>526</v>
      </c>
      <c r="D47" s="259"/>
      <c r="E47" s="124" t="e">
        <f>VLOOKUP($B$13,'Activity database'!$A:$AN,15,FALSE)</f>
        <v>#N/A</v>
      </c>
      <c r="F47" s="124" t="e">
        <f>VLOOKUP($B$13,'Activity database'!$A:$AN,31,FALSE)</f>
        <v>#N/A</v>
      </c>
      <c r="G47" s="119" t="e">
        <f>IF(E47="N/A",0,D47*E47*F47)</f>
        <v>#N/A</v>
      </c>
      <c r="H47" s="510" t="s">
        <v>821</v>
      </c>
      <c r="I47" s="148"/>
      <c r="J47" s="148"/>
      <c r="K47" s="148"/>
      <c r="L47" s="148"/>
      <c r="M47" s="148"/>
      <c r="N47" s="148"/>
      <c r="O47" s="123" t="str">
        <f t="shared" si="1"/>
        <v>Shower use (bath present)</v>
      </c>
      <c r="P47" s="124">
        <f>IF($D$47="",0,'Activity database'!AU8)</f>
        <v>0</v>
      </c>
      <c r="Q47" s="125" t="e">
        <f t="shared" si="2"/>
        <v>#N/A</v>
      </c>
      <c r="R47" s="125" t="e">
        <f t="shared" si="2"/>
        <v>#N/A</v>
      </c>
      <c r="S47" s="121">
        <f>IF($D$47="",0,P47*$Q$47*$R$47)</f>
        <v>0</v>
      </c>
      <c r="T47" s="148"/>
      <c r="U47" s="113"/>
      <c r="V47" s="117"/>
      <c r="W47" s="117"/>
      <c r="X47" s="117"/>
      <c r="Y47" s="113"/>
      <c r="Z47" s="113"/>
      <c r="AA47" s="113"/>
      <c r="AB47" s="113"/>
      <c r="AC47" s="148"/>
      <c r="AD47" s="144"/>
      <c r="AO47" s="144"/>
    </row>
    <row r="48" spans="1:41" ht="15" hidden="1" customHeight="1" x14ac:dyDescent="0.2">
      <c r="A48" s="290" t="s">
        <v>821</v>
      </c>
      <c r="B48" s="123" t="str">
        <f>'Activity database'!P3</f>
        <v xml:space="preserve">Bath use (no shower present) </v>
      </c>
      <c r="C48" s="124" t="s">
        <v>527</v>
      </c>
      <c r="D48" s="259"/>
      <c r="E48" s="124" t="e">
        <f>VLOOKUP($B$13,'Activity database'!$A:$AN,16,FALSE)</f>
        <v>#N/A</v>
      </c>
      <c r="F48" s="124" t="e">
        <f>VLOOKUP($B$13,'Activity database'!$A:$AN,32,FALSE)</f>
        <v>#N/A</v>
      </c>
      <c r="G48" s="119" t="e">
        <f>IF(E48="n/a",0,((D48*E48*F48)*'Activity database'!AQ4))</f>
        <v>#N/A</v>
      </c>
      <c r="H48" s="510" t="s">
        <v>821</v>
      </c>
      <c r="I48" s="148"/>
      <c r="J48" s="148"/>
      <c r="K48" s="148"/>
      <c r="L48" s="148"/>
      <c r="M48" s="148"/>
      <c r="N48" s="148"/>
      <c r="O48" s="123" t="str">
        <f t="shared" si="1"/>
        <v xml:space="preserve">Bath use (no shower present) </v>
      </c>
      <c r="P48" s="124">
        <f>IF($D$48="",0,'Activity database'!AU9)</f>
        <v>0</v>
      </c>
      <c r="Q48" s="124" t="e">
        <f t="shared" si="2"/>
        <v>#N/A</v>
      </c>
      <c r="R48" s="124" t="e">
        <f t="shared" si="2"/>
        <v>#N/A</v>
      </c>
      <c r="S48" s="121">
        <f>IF($D$48="",0,((P48*$Q$48*$R$48)*(VLOOKUP($B$13,'Activity database'!$A:$AR,43,FALSE))))</f>
        <v>0</v>
      </c>
      <c r="T48" s="148"/>
      <c r="U48" s="113"/>
      <c r="V48" s="117"/>
      <c r="W48" s="117"/>
      <c r="X48" s="117"/>
      <c r="Y48" s="113"/>
      <c r="Z48" s="113"/>
      <c r="AA48" s="113"/>
      <c r="AB48" s="113"/>
      <c r="AC48" s="148"/>
      <c r="AD48" s="144"/>
      <c r="AO48" s="144"/>
    </row>
    <row r="49" spans="1:41" ht="15" hidden="1" customHeight="1" x14ac:dyDescent="0.2">
      <c r="A49" s="290" t="s">
        <v>821</v>
      </c>
      <c r="B49" s="123" t="str">
        <f>'Activity database'!Q3</f>
        <v>Bath use (shower present)</v>
      </c>
      <c r="C49" s="124" t="s">
        <v>527</v>
      </c>
      <c r="D49" s="259"/>
      <c r="E49" s="124" t="e">
        <f>VLOOKUP($B$13,'Activity database'!$A:$AN,17,FALSE)</f>
        <v>#N/A</v>
      </c>
      <c r="F49" s="124" t="e">
        <f>VLOOKUP($B$13,'Activity database'!$A:$AN,33,FALSE)</f>
        <v>#N/A</v>
      </c>
      <c r="G49" s="119" t="e">
        <f>IF(E49="n/a",0,((D49*E49*F49)*'Activity database'!AQ4))</f>
        <v>#N/A</v>
      </c>
      <c r="H49" s="510" t="s">
        <v>821</v>
      </c>
      <c r="I49" s="148"/>
      <c r="J49" s="148"/>
      <c r="K49" s="148"/>
      <c r="L49" s="148"/>
      <c r="M49" s="148"/>
      <c r="N49" s="148"/>
      <c r="O49" s="123" t="str">
        <f t="shared" si="1"/>
        <v>Bath use (shower present)</v>
      </c>
      <c r="P49" s="124">
        <f>IF($D$49="",0,'Activity database'!AU9)</f>
        <v>0</v>
      </c>
      <c r="Q49" s="124" t="e">
        <f t="shared" si="2"/>
        <v>#N/A</v>
      </c>
      <c r="R49" s="124" t="e">
        <f t="shared" si="2"/>
        <v>#N/A</v>
      </c>
      <c r="S49" s="121">
        <f>IF($D$49="",0,((P49*$Q$49*$R$49)*(VLOOKUP($B$13,'Activity database'!$A:$AR,43,FALSE))))</f>
        <v>0</v>
      </c>
      <c r="T49" s="148"/>
      <c r="U49" s="113"/>
      <c r="V49" s="117"/>
      <c r="W49" s="117"/>
      <c r="X49" s="117"/>
      <c r="Y49" s="113"/>
      <c r="Z49" s="113"/>
      <c r="AA49" s="113"/>
      <c r="AB49" s="113"/>
      <c r="AC49" s="148"/>
      <c r="AD49" s="144"/>
      <c r="AO49" s="144"/>
    </row>
    <row r="50" spans="1:41" ht="15" customHeight="1" x14ac:dyDescent="0.2">
      <c r="A50" s="113"/>
      <c r="B50" s="198" t="str">
        <f>'Activity database'!X3</f>
        <v>Fixed use - vessel filling</v>
      </c>
      <c r="C50" s="199" t="s">
        <v>386</v>
      </c>
      <c r="D50" s="199" t="s">
        <v>521</v>
      </c>
      <c r="E50" s="200" t="s">
        <v>521</v>
      </c>
      <c r="F50" s="199" t="s">
        <v>521</v>
      </c>
      <c r="G50" s="201" t="str">
        <f>IF(ISERROR(VLOOKUP(B13,'Activity database'!A:BA,24,FALSE)),R138,VLOOKUP(B13,'Activity database'!A:BA,24,FALSE))</f>
        <v>Requires building information</v>
      </c>
      <c r="H50" s="619"/>
      <c r="I50" s="603"/>
      <c r="J50" s="603"/>
      <c r="K50" s="603"/>
      <c r="L50" s="603"/>
      <c r="M50" s="603"/>
      <c r="N50" s="514"/>
      <c r="O50" s="123" t="str">
        <f t="shared" si="1"/>
        <v>Fixed use - vessel filling</v>
      </c>
      <c r="P50" s="124" t="s">
        <v>280</v>
      </c>
      <c r="Q50" s="124" t="s">
        <v>280</v>
      </c>
      <c r="R50" s="124" t="s">
        <v>280</v>
      </c>
      <c r="S50" s="121" t="str">
        <f>$G$50</f>
        <v>Requires building information</v>
      </c>
      <c r="T50" s="148"/>
      <c r="U50" s="113"/>
      <c r="V50" s="117"/>
      <c r="W50" s="117"/>
      <c r="X50" s="117"/>
      <c r="Y50" s="113"/>
      <c r="Z50" s="113"/>
      <c r="AA50" s="113"/>
      <c r="AB50" s="113"/>
      <c r="AC50" s="148"/>
      <c r="AD50" s="144"/>
      <c r="AO50" s="144"/>
    </row>
    <row r="51" spans="1:41" ht="24.95" customHeight="1" x14ac:dyDescent="0.2">
      <c r="A51" s="113"/>
      <c r="B51" s="519" t="s">
        <v>538</v>
      </c>
      <c r="C51" s="525"/>
      <c r="D51" s="525"/>
      <c r="E51" s="525"/>
      <c r="F51" s="525"/>
      <c r="G51" s="526"/>
      <c r="H51" s="619"/>
      <c r="I51" s="603"/>
      <c r="J51" s="603"/>
      <c r="K51" s="603"/>
      <c r="L51" s="603"/>
      <c r="M51" s="603"/>
      <c r="N51" s="514"/>
      <c r="O51" s="143" t="s">
        <v>538</v>
      </c>
      <c r="P51" s="334"/>
      <c r="Q51" s="334"/>
      <c r="R51" s="334"/>
      <c r="S51" s="335"/>
      <c r="T51" s="148"/>
      <c r="U51" s="113"/>
      <c r="V51" s="117"/>
      <c r="W51" s="117"/>
      <c r="X51" s="117"/>
      <c r="Y51" s="113"/>
      <c r="Z51" s="113"/>
      <c r="AA51" s="113"/>
      <c r="AB51" s="113"/>
      <c r="AC51" s="148"/>
      <c r="AD51" s="144"/>
      <c r="AO51" s="144"/>
    </row>
    <row r="52" spans="1:41" ht="15" customHeight="1" x14ac:dyDescent="0.2">
      <c r="A52" s="113"/>
      <c r="B52" s="202" t="str">
        <f>'Activity database'!R3</f>
        <v>Kitchen taps - kitchenette</v>
      </c>
      <c r="C52" s="203" t="s">
        <v>526</v>
      </c>
      <c r="D52" s="266"/>
      <c r="E52" s="203" t="str">
        <f>IF(B13=R130,R138,VLOOKUP($B$22,'Activity database'!$A:$AN,18,FALSE))</f>
        <v>Requires building information</v>
      </c>
      <c r="F52" s="203">
        <f>VLOOKUP($B$22,'Activity database'!$A:$AN,34,FALSE)</f>
        <v>0.67</v>
      </c>
      <c r="G52" s="204" t="str">
        <f>IF(ISERROR(IF(B13=R130,R138,(D52*E52*F52)*(VLOOKUP(B13,'Activity database'!A:AR,44,FALSE)))),R138,IF(B13=R130,R138,(D52*E52*F52)*(VLOOKUP(B13,'Activity database'!A:AR,44,FALSE))))</f>
        <v>Requires building information</v>
      </c>
      <c r="I52" s="148"/>
      <c r="J52" s="148"/>
      <c r="K52" s="148"/>
      <c r="L52" s="148"/>
      <c r="M52" s="148"/>
      <c r="N52" s="148"/>
      <c r="O52" s="123" t="str">
        <f>B52</f>
        <v>Kitchen taps - kitchenette</v>
      </c>
      <c r="P52" s="124">
        <f>IF($D$52="",0,VLOOKUP($O$52,'Activity database'!$AT:$BA,2,FALSE))</f>
        <v>0</v>
      </c>
      <c r="Q52" s="124" t="str">
        <f>E52</f>
        <v>Requires building information</v>
      </c>
      <c r="R52" s="124">
        <f>F52</f>
        <v>0.67</v>
      </c>
      <c r="S52" s="121">
        <f>IF($D$52="",0,(P52*$Q$52*$R$52)*(VLOOKUP($B$13,'Activity database'!$A:$AR,44,FALSE)))</f>
        <v>0</v>
      </c>
      <c r="T52" s="148"/>
      <c r="U52" s="113"/>
      <c r="V52" s="117"/>
      <c r="W52" s="117"/>
      <c r="X52" s="117"/>
      <c r="Y52" s="113"/>
      <c r="Z52" s="113"/>
      <c r="AA52" s="113"/>
      <c r="AB52" s="113"/>
      <c r="AC52" s="148"/>
      <c r="AD52" s="144"/>
      <c r="AO52" s="144"/>
    </row>
    <row r="53" spans="1:41" ht="15" customHeight="1" x14ac:dyDescent="0.2">
      <c r="A53" s="113"/>
      <c r="B53" s="130" t="str">
        <f>'Activity database'!U3</f>
        <v>Dishwasher</v>
      </c>
      <c r="C53" s="121" t="s">
        <v>535</v>
      </c>
      <c r="D53" s="267"/>
      <c r="E53" s="350" t="str">
        <f>IF(B13=R130,R138,VLOOKUP($B$22,'Activity database'!$A:$AN,21,FALSE))</f>
        <v>Requires building information</v>
      </c>
      <c r="F53" s="124">
        <f>VLOOKUP($B$22,'Activity database'!$A:$AN,37,FALSE)</f>
        <v>1</v>
      </c>
      <c r="G53" s="121" t="str">
        <f>IF(ISERROR(IF(B13=R130,R138,D53*E53*F53)),R138,IF(B13=R130,R138,D53*E53*F53))</f>
        <v>Requires building information</v>
      </c>
      <c r="I53" s="148"/>
      <c r="J53" s="148"/>
      <c r="K53" s="148"/>
      <c r="L53" s="148"/>
      <c r="M53" s="148"/>
      <c r="N53" s="148"/>
      <c r="O53" s="123" t="str">
        <f>B53</f>
        <v>Dishwasher</v>
      </c>
      <c r="P53" s="124">
        <f>IF($D$53="",0,'Activity database'!AU16)</f>
        <v>0</v>
      </c>
      <c r="Q53" s="124" t="str">
        <f>E53</f>
        <v>Requires building information</v>
      </c>
      <c r="R53" s="124">
        <f>F53</f>
        <v>1</v>
      </c>
      <c r="S53" s="121" t="e">
        <f>P53*$Q$53*$R$53</f>
        <v>#VALUE!</v>
      </c>
      <c r="T53" s="148"/>
      <c r="U53" s="113"/>
      <c r="V53" s="117"/>
      <c r="W53" s="117"/>
      <c r="X53" s="117"/>
      <c r="Y53" s="113"/>
      <c r="Z53" s="113"/>
      <c r="AA53" s="113"/>
      <c r="AB53" s="113"/>
      <c r="AC53" s="148"/>
      <c r="AD53" s="144"/>
      <c r="AO53" s="144"/>
    </row>
    <row r="54" spans="1:41" ht="24.95" customHeight="1" x14ac:dyDescent="0.2">
      <c r="A54" s="113"/>
      <c r="B54" s="524" t="s">
        <v>846</v>
      </c>
      <c r="C54" s="525"/>
      <c r="D54" s="525"/>
      <c r="E54" s="525"/>
      <c r="F54" s="525"/>
      <c r="G54" s="526"/>
      <c r="I54" s="148"/>
      <c r="J54" s="148"/>
      <c r="K54" s="148"/>
      <c r="L54" s="148"/>
      <c r="M54" s="148"/>
      <c r="N54" s="148"/>
      <c r="O54" s="143" t="s">
        <v>93</v>
      </c>
      <c r="P54" s="334"/>
      <c r="Q54" s="334"/>
      <c r="R54" s="334"/>
      <c r="S54" s="335"/>
      <c r="T54" s="148"/>
      <c r="U54" s="113"/>
      <c r="V54" s="117"/>
      <c r="W54" s="117"/>
      <c r="X54" s="117"/>
      <c r="Y54" s="113"/>
      <c r="Z54" s="113"/>
      <c r="AA54" s="113"/>
      <c r="AB54" s="113"/>
      <c r="AC54" s="148"/>
      <c r="AD54" s="144"/>
      <c r="AO54" s="144"/>
    </row>
    <row r="55" spans="1:41" ht="15" customHeight="1" x14ac:dyDescent="0.2">
      <c r="A55" s="113"/>
      <c r="B55" s="130" t="str">
        <f>'Activity database'!S3</f>
        <v>Kitchen taps - pre-rinse nozzle</v>
      </c>
      <c r="C55" s="129" t="s">
        <v>526</v>
      </c>
      <c r="D55" s="267"/>
      <c r="E55" s="124" t="s">
        <v>521</v>
      </c>
      <c r="F55" s="124">
        <f>VLOOKUP($B$23,'Activity database'!A:BO,35,FALSE)</f>
        <v>60</v>
      </c>
      <c r="G55" s="121" t="str">
        <f>IF(ISERROR((D55*F55)/O140),R138,((D55*F55)/O140))</f>
        <v>Requires building information</v>
      </c>
      <c r="I55" s="148"/>
      <c r="J55" s="148"/>
      <c r="K55" s="148"/>
      <c r="L55" s="148"/>
      <c r="M55" s="148"/>
      <c r="N55" s="148"/>
      <c r="O55" s="123" t="str">
        <f t="shared" ref="O55:O60" si="3">B55</f>
        <v>Kitchen taps - pre-rinse nozzle</v>
      </c>
      <c r="P55" s="124">
        <f>IF($D$55="",0,VLOOKUP($O$55,'Activity database'!$AT:$BA,2,FALSE))</f>
        <v>0</v>
      </c>
      <c r="Q55" s="124" t="str">
        <f t="shared" ref="Q55:R58" si="4">E55</f>
        <v>-</v>
      </c>
      <c r="R55" s="124">
        <f t="shared" si="4"/>
        <v>60</v>
      </c>
      <c r="S55" s="121">
        <f>IF($D$55="",0,(P55*$R$55)/$O$140)</f>
        <v>0</v>
      </c>
      <c r="T55" s="148"/>
      <c r="U55" s="113"/>
      <c r="V55" s="117"/>
      <c r="W55" s="117"/>
      <c r="X55" s="117"/>
      <c r="Y55" s="113"/>
      <c r="Z55" s="113"/>
      <c r="AA55" s="113"/>
      <c r="AB55" s="113"/>
      <c r="AC55" s="148"/>
      <c r="AD55" s="144"/>
      <c r="AO55" s="144"/>
    </row>
    <row r="56" spans="1:41" ht="15" customHeight="1" x14ac:dyDescent="0.2">
      <c r="A56" s="113"/>
      <c r="B56" s="130" t="str">
        <f>'Activity database'!U3</f>
        <v>Dishwasher</v>
      </c>
      <c r="C56" s="129" t="s">
        <v>103</v>
      </c>
      <c r="D56" s="267"/>
      <c r="E56" s="124" t="s">
        <v>521</v>
      </c>
      <c r="F56" s="125">
        <f>VLOOKUP($B$23,'Activity database'!A:BO,37,FALSE)</f>
        <v>0.248</v>
      </c>
      <c r="G56" s="121" t="str">
        <f>IF(ISERROR((F56*G23*D56)/O140),R138,((F56*G23*D56)/O140))</f>
        <v>Requires building information</v>
      </c>
      <c r="I56" s="148"/>
      <c r="J56" s="148"/>
      <c r="K56" s="148"/>
      <c r="L56" s="148"/>
      <c r="M56" s="148"/>
      <c r="N56" s="148"/>
      <c r="O56" s="123" t="str">
        <f t="shared" si="3"/>
        <v>Dishwasher</v>
      </c>
      <c r="P56" s="124">
        <f>IF($D$56="",0,'Activity database'!AU19)</f>
        <v>0</v>
      </c>
      <c r="Q56" s="124" t="str">
        <f t="shared" si="4"/>
        <v>-</v>
      </c>
      <c r="R56" s="124">
        <f t="shared" si="4"/>
        <v>0.248</v>
      </c>
      <c r="S56" s="121">
        <f>IF($D$56="",0,($R$56*$G$23*P56)/$O$140)</f>
        <v>0</v>
      </c>
      <c r="T56" s="148"/>
      <c r="U56" s="113"/>
      <c r="V56" s="117"/>
      <c r="W56" s="117"/>
      <c r="X56" s="117"/>
      <c r="Y56" s="113"/>
      <c r="Z56" s="113"/>
      <c r="AA56" s="113"/>
      <c r="AB56" s="113"/>
      <c r="AC56" s="148"/>
      <c r="AD56" s="144"/>
      <c r="AO56" s="144"/>
    </row>
    <row r="57" spans="1:41" ht="15" customHeight="1" x14ac:dyDescent="0.2">
      <c r="A57" s="113"/>
      <c r="B57" s="130" t="str">
        <f>'Activity database'!W3</f>
        <v>Waste disposal unit</v>
      </c>
      <c r="C57" s="129" t="s">
        <v>526</v>
      </c>
      <c r="D57" s="267"/>
      <c r="E57" s="124" t="s">
        <v>521</v>
      </c>
      <c r="F57" s="124">
        <f>VLOOKUP($B$23,'Activity database'!A:BO,39,FALSE)</f>
        <v>30</v>
      </c>
      <c r="G57" s="121" t="str">
        <f>IF(ISERROR((D57*F57)/O140),R138,((D57*F57)/O140))</f>
        <v>Requires building information</v>
      </c>
      <c r="I57" s="148"/>
      <c r="J57" s="148"/>
      <c r="K57" s="148"/>
      <c r="L57" s="148"/>
      <c r="M57" s="148"/>
      <c r="N57" s="148"/>
      <c r="O57" s="123" t="str">
        <f t="shared" si="3"/>
        <v>Waste disposal unit</v>
      </c>
      <c r="P57" s="124">
        <f>IF($D$57="",0,VLOOKUP($O$57,'Activity database'!$AT:$BA,2,FALSE))</f>
        <v>0</v>
      </c>
      <c r="Q57" s="124" t="str">
        <f t="shared" si="4"/>
        <v>-</v>
      </c>
      <c r="R57" s="124">
        <f t="shared" si="4"/>
        <v>30</v>
      </c>
      <c r="S57" s="121">
        <f>IF($D$57="",0,(P57*$R$57)/$O$140)</f>
        <v>0</v>
      </c>
      <c r="T57" s="148"/>
      <c r="U57" s="113"/>
      <c r="V57" s="117"/>
      <c r="W57" s="117"/>
      <c r="X57" s="117"/>
      <c r="Y57" s="113"/>
      <c r="Z57" s="113"/>
      <c r="AA57" s="113"/>
      <c r="AB57" s="113"/>
      <c r="AC57" s="148"/>
      <c r="AD57" s="144"/>
      <c r="AO57" s="144"/>
    </row>
    <row r="58" spans="1:41" ht="15" hidden="1" customHeight="1" x14ac:dyDescent="0.2">
      <c r="A58" s="290" t="s">
        <v>821</v>
      </c>
      <c r="B58" s="130" t="str">
        <f>'Activity database'!V3</f>
        <v>Washing machine</v>
      </c>
      <c r="C58" s="129" t="s">
        <v>528</v>
      </c>
      <c r="D58" s="260"/>
      <c r="E58" s="124" t="e">
        <f>VLOOKUP($B$13,'Activity database'!$A:$AN,22,FALSE)</f>
        <v>#N/A</v>
      </c>
      <c r="F58" s="124" t="e">
        <f>VLOOKUP($B$13,'Activity database'!$A:$AN,38,FALSE)</f>
        <v>#N/A</v>
      </c>
      <c r="G58" s="121" t="str">
        <f>IF(ISERROR(IF(E58="N/A",0,IF(F23="Yes",(D58*E58*F58),0))),R138,IF(E58="N/A",0,IF(F23="Yes",(D58*E58*F58),0)))</f>
        <v>Requires building information</v>
      </c>
      <c r="H58" s="510" t="s">
        <v>821</v>
      </c>
      <c r="I58" s="148"/>
      <c r="J58" s="148"/>
      <c r="K58" s="148"/>
      <c r="L58" s="148"/>
      <c r="M58" s="148"/>
      <c r="N58" s="148"/>
      <c r="O58" s="123" t="str">
        <f t="shared" si="3"/>
        <v>Washing machine</v>
      </c>
      <c r="P58" s="124">
        <f>IF($D$58="",0,'Activity database'!AU20)</f>
        <v>0</v>
      </c>
      <c r="Q58" s="124" t="e">
        <f t="shared" si="4"/>
        <v>#N/A</v>
      </c>
      <c r="R58" s="124" t="e">
        <f t="shared" si="4"/>
        <v>#N/A</v>
      </c>
      <c r="S58" s="121">
        <f>IF($D$58="",0,IF($F$23="Yes",(P58*$Q$58*$R$58)))</f>
        <v>0</v>
      </c>
      <c r="T58" s="148"/>
      <c r="U58" s="113"/>
      <c r="V58" s="117"/>
      <c r="W58" s="117"/>
      <c r="X58" s="117"/>
      <c r="Y58" s="113"/>
      <c r="Z58" s="113"/>
      <c r="AA58" s="113"/>
      <c r="AB58" s="113"/>
      <c r="AC58" s="148"/>
      <c r="AD58" s="144"/>
      <c r="AO58" s="144"/>
    </row>
    <row r="59" spans="1:41" ht="15" customHeight="1" x14ac:dyDescent="0.2">
      <c r="A59" s="113"/>
      <c r="B59" s="130" t="str">
        <f>'Activity database'!Y3</f>
        <v>Fixed use - food preparation</v>
      </c>
      <c r="C59" s="129" t="s">
        <v>386</v>
      </c>
      <c r="D59" s="124" t="s">
        <v>521</v>
      </c>
      <c r="E59" s="124" t="s">
        <v>521</v>
      </c>
      <c r="F59" s="124" t="s">
        <v>521</v>
      </c>
      <c r="G59" s="121">
        <f>IF(ISERROR(IF(F23="Yes",(VLOOKUP(B23,'Activity database'!A:BO,25,FALSE)/O140),0)),R138,IF(F23="Yes",(VLOOKUP(B23,'Activity database'!A:BO,25,FALSE)/O140),0))</f>
        <v>0</v>
      </c>
      <c r="H59" s="619"/>
      <c r="I59" s="603"/>
      <c r="J59" s="603"/>
      <c r="K59" s="603"/>
      <c r="L59" s="603"/>
      <c r="M59" s="603"/>
      <c r="N59" s="514"/>
      <c r="O59" s="123" t="str">
        <f t="shared" si="3"/>
        <v>Fixed use - food preparation</v>
      </c>
      <c r="P59" s="124" t="s">
        <v>280</v>
      </c>
      <c r="Q59" s="124" t="str">
        <f>E59</f>
        <v>-</v>
      </c>
      <c r="R59" s="124" t="s">
        <v>280</v>
      </c>
      <c r="S59" s="121">
        <f>$G$59</f>
        <v>0</v>
      </c>
      <c r="T59" s="148"/>
      <c r="U59" s="113"/>
      <c r="V59" s="117"/>
      <c r="W59" s="117"/>
      <c r="X59" s="117"/>
      <c r="Y59" s="113"/>
      <c r="Z59" s="113"/>
      <c r="AA59" s="113"/>
      <c r="AB59" s="113"/>
      <c r="AC59" s="148"/>
      <c r="AD59" s="144"/>
      <c r="AO59" s="144"/>
    </row>
    <row r="60" spans="1:41" ht="15" customHeight="1" x14ac:dyDescent="0.2">
      <c r="A60" s="113"/>
      <c r="B60" s="130" t="str">
        <f>'Activity database'!Z3</f>
        <v>Fixed use - kitchen cleaning</v>
      </c>
      <c r="C60" s="129" t="s">
        <v>386</v>
      </c>
      <c r="D60" s="124" t="s">
        <v>521</v>
      </c>
      <c r="E60" s="124" t="s">
        <v>521</v>
      </c>
      <c r="F60" s="124" t="s">
        <v>521</v>
      </c>
      <c r="G60" s="121">
        <f>IF(ISERROR(IF(F23="Yes",(VLOOKUP(B23,'Activity database'!A:BO,26,FALSE)/O140),0)),R138,IF(F23="Yes",(VLOOKUP(B23,'Activity database'!A:BO,26,FALSE)/O140),0))</f>
        <v>0</v>
      </c>
      <c r="H60" s="619"/>
      <c r="I60" s="603"/>
      <c r="J60" s="603"/>
      <c r="K60" s="603"/>
      <c r="L60" s="603"/>
      <c r="M60" s="603"/>
      <c r="N60" s="514"/>
      <c r="O60" s="123" t="str">
        <f t="shared" si="3"/>
        <v>Fixed use - kitchen cleaning</v>
      </c>
      <c r="P60" s="124" t="s">
        <v>280</v>
      </c>
      <c r="Q60" s="124" t="str">
        <f>E60</f>
        <v>-</v>
      </c>
      <c r="R60" s="124" t="s">
        <v>280</v>
      </c>
      <c r="S60" s="121">
        <f>$G$60</f>
        <v>0</v>
      </c>
      <c r="T60" s="148"/>
      <c r="U60" s="113"/>
      <c r="V60" s="117"/>
      <c r="W60" s="117"/>
      <c r="X60" s="117"/>
      <c r="Y60" s="113"/>
      <c r="Z60" s="113"/>
      <c r="AA60" s="113"/>
      <c r="AB60" s="113"/>
      <c r="AC60" s="148"/>
      <c r="AD60" s="144"/>
      <c r="AO60" s="144"/>
    </row>
    <row r="61" spans="1:41" ht="15" customHeight="1" x14ac:dyDescent="0.2">
      <c r="A61" s="113"/>
      <c r="B61" s="113"/>
      <c r="C61" s="113"/>
      <c r="D61" s="113"/>
      <c r="E61" s="113"/>
      <c r="F61" s="113"/>
      <c r="G61" s="113"/>
      <c r="I61" s="148"/>
      <c r="J61" s="148"/>
      <c r="K61" s="148"/>
      <c r="L61" s="148"/>
      <c r="M61" s="148"/>
      <c r="N61" s="148"/>
      <c r="O61" s="148"/>
      <c r="P61" s="148"/>
      <c r="Q61" s="148"/>
      <c r="R61" s="148"/>
      <c r="S61" s="148"/>
      <c r="T61" s="148"/>
      <c r="U61" s="113"/>
      <c r="V61" s="117"/>
      <c r="W61" s="117"/>
      <c r="X61" s="117"/>
      <c r="Y61" s="113"/>
      <c r="Z61" s="113"/>
      <c r="AA61" s="113"/>
      <c r="AB61" s="113"/>
      <c r="AC61" s="148"/>
      <c r="AD61" s="144"/>
      <c r="AO61" s="144"/>
    </row>
    <row r="62" spans="1:41" ht="24.95" customHeight="1" x14ac:dyDescent="0.2">
      <c r="A62" s="113"/>
      <c r="B62" s="320"/>
      <c r="C62" s="113"/>
      <c r="D62" s="113"/>
      <c r="E62" s="113"/>
      <c r="F62" s="113"/>
      <c r="G62" s="538" t="s">
        <v>657</v>
      </c>
      <c r="H62" s="604" t="s">
        <v>951</v>
      </c>
      <c r="I62" s="604"/>
      <c r="J62" s="604"/>
      <c r="K62" s="604"/>
      <c r="L62" s="604"/>
      <c r="M62" s="604"/>
      <c r="N62" s="148"/>
      <c r="O62" s="148"/>
      <c r="P62" s="148"/>
      <c r="Q62" s="148"/>
      <c r="R62" s="113"/>
      <c r="S62" s="138" t="s">
        <v>82</v>
      </c>
      <c r="T62" s="148"/>
      <c r="U62" s="113"/>
      <c r="V62" s="117"/>
      <c r="W62" s="117"/>
      <c r="X62" s="117"/>
      <c r="Y62" s="113"/>
      <c r="Z62" s="113"/>
      <c r="AA62" s="113"/>
      <c r="AB62" s="113"/>
      <c r="AC62" s="148"/>
      <c r="AD62" s="144"/>
      <c r="AO62" s="144"/>
    </row>
    <row r="63" spans="1:41" ht="15" customHeight="1" x14ac:dyDescent="0.2">
      <c r="A63" s="113"/>
      <c r="B63" s="113"/>
      <c r="C63" s="113"/>
      <c r="D63" s="113"/>
      <c r="E63" s="113"/>
      <c r="F63" s="140" t="s">
        <v>5</v>
      </c>
      <c r="G63" s="119" t="str">
        <f>IF(OR(G30=R138,AND(F19=R132,F20=R132,F22=R132,F23=R132,F24=R132,F25=R132)),R138,(SUM(G30:G31)+G34+G37+G40+SUM(G45:G50)+SUM(G52:G53)+SUM(G55:G60)))</f>
        <v>Requires building information</v>
      </c>
      <c r="H63" s="604"/>
      <c r="I63" s="604"/>
      <c r="J63" s="604"/>
      <c r="K63" s="604"/>
      <c r="L63" s="604"/>
      <c r="M63" s="604"/>
      <c r="N63" s="148"/>
      <c r="O63" s="148"/>
      <c r="P63" s="148"/>
      <c r="Q63" s="148"/>
      <c r="R63" s="140" t="s">
        <v>630</v>
      </c>
      <c r="S63" s="119" t="e">
        <f>SUM(S30+S31)+S34+S37+S40+SUM(S45:S50)+SUM(S52:S53)+SUM(S55:S60)-S66</f>
        <v>#N/A</v>
      </c>
      <c r="T63" s="405"/>
      <c r="U63" s="113"/>
      <c r="V63" s="117"/>
      <c r="W63" s="117"/>
      <c r="X63" s="117"/>
      <c r="Y63" s="113"/>
      <c r="Z63" s="113"/>
      <c r="AA63" s="113"/>
      <c r="AB63" s="113"/>
      <c r="AC63" s="148"/>
      <c r="AD63" s="144"/>
      <c r="AO63" s="144"/>
    </row>
    <row r="64" spans="1:41" ht="24.95" customHeight="1" x14ac:dyDescent="0.2">
      <c r="A64" s="113"/>
      <c r="B64" s="113"/>
      <c r="C64" s="113"/>
      <c r="D64" s="137"/>
      <c r="E64" s="137"/>
      <c r="F64" s="137"/>
      <c r="G64" s="114"/>
      <c r="H64" s="604"/>
      <c r="I64" s="604"/>
      <c r="J64" s="604"/>
      <c r="K64" s="604"/>
      <c r="L64" s="604"/>
      <c r="M64" s="604"/>
      <c r="N64" s="148"/>
      <c r="O64" s="113"/>
      <c r="P64" s="137"/>
      <c r="Q64" s="164"/>
      <c r="R64" s="164"/>
      <c r="S64" s="164"/>
      <c r="T64" s="148"/>
      <c r="U64" s="113"/>
      <c r="V64" s="117"/>
      <c r="W64" s="117"/>
      <c r="X64" s="117"/>
      <c r="Y64" s="113"/>
      <c r="Z64" s="113"/>
      <c r="AA64" s="113"/>
      <c r="AB64" s="113"/>
      <c r="AC64" s="148"/>
      <c r="AD64" s="144"/>
      <c r="AO64" s="144"/>
    </row>
    <row r="65" spans="1:41" ht="32.1" customHeight="1" x14ac:dyDescent="0.2">
      <c r="A65" s="113"/>
      <c r="B65" s="516" t="s">
        <v>627</v>
      </c>
      <c r="C65" s="516"/>
      <c r="D65" s="516"/>
      <c r="E65" s="516"/>
      <c r="F65" s="516"/>
      <c r="G65" s="516"/>
      <c r="H65" s="604"/>
      <c r="I65" s="604"/>
      <c r="J65" s="604"/>
      <c r="K65" s="604"/>
      <c r="L65" s="604"/>
      <c r="M65" s="604"/>
      <c r="N65" s="144"/>
      <c r="O65" s="117"/>
      <c r="P65" s="117"/>
      <c r="Q65" s="148"/>
      <c r="R65" s="113"/>
      <c r="S65" s="138" t="s">
        <v>952</v>
      </c>
      <c r="T65" s="148"/>
      <c r="U65" s="113"/>
      <c r="V65" s="117"/>
      <c r="W65" s="117"/>
      <c r="X65" s="117"/>
      <c r="Y65" s="113"/>
      <c r="Z65" s="113"/>
      <c r="AA65" s="113"/>
      <c r="AB65" s="113"/>
      <c r="AC65" s="148"/>
      <c r="AD65" s="144"/>
      <c r="AO65" s="144"/>
    </row>
    <row r="66" spans="1:41" ht="24.95" customHeight="1" x14ac:dyDescent="0.2">
      <c r="A66" s="113"/>
      <c r="B66" s="113"/>
      <c r="C66" s="113"/>
      <c r="D66" s="113"/>
      <c r="E66" s="113"/>
      <c r="F66" s="113"/>
      <c r="G66" s="114"/>
      <c r="H66" s="148"/>
      <c r="I66" s="144"/>
      <c r="J66" s="144"/>
      <c r="K66" s="144"/>
      <c r="L66" s="144"/>
      <c r="M66" s="144"/>
      <c r="N66" s="144"/>
      <c r="O66" s="117"/>
      <c r="P66" s="117"/>
      <c r="Q66" s="148"/>
      <c r="R66" s="332" t="s">
        <v>630</v>
      </c>
      <c r="S66" s="119" t="e">
        <f>S50+S59+S60</f>
        <v>#VALUE!</v>
      </c>
      <c r="T66" s="148"/>
      <c r="U66" s="113"/>
      <c r="V66" s="117"/>
      <c r="W66" s="117"/>
      <c r="X66" s="117"/>
      <c r="Y66" s="113"/>
      <c r="Z66" s="148"/>
      <c r="AA66" s="148"/>
      <c r="AB66" s="148"/>
      <c r="AC66" s="148"/>
      <c r="AD66" s="144"/>
      <c r="AO66" s="144"/>
    </row>
    <row r="67" spans="1:41" ht="15" customHeight="1" x14ac:dyDescent="0.2">
      <c r="A67" s="346" t="str">
        <f>IF(G67=$R$130,"&gt;","")</f>
        <v>&gt;</v>
      </c>
      <c r="B67" s="115"/>
      <c r="C67" s="132"/>
      <c r="D67" s="133"/>
      <c r="E67" s="133"/>
      <c r="F67" s="134" t="s">
        <v>993</v>
      </c>
      <c r="G67" s="268" t="s">
        <v>654</v>
      </c>
      <c r="H67" s="148"/>
      <c r="I67" s="144"/>
      <c r="J67" s="144"/>
      <c r="K67" s="144"/>
      <c r="L67" s="144"/>
      <c r="M67" s="144"/>
      <c r="N67" s="144"/>
      <c r="O67" s="117"/>
      <c r="P67" s="117"/>
      <c r="Q67" s="148"/>
      <c r="R67" s="148"/>
      <c r="S67" s="148"/>
      <c r="T67" s="148"/>
      <c r="U67" s="113"/>
      <c r="V67" s="117"/>
      <c r="W67" s="117"/>
      <c r="X67" s="117"/>
      <c r="Y67" s="113"/>
      <c r="Z67" s="148"/>
      <c r="AA67" s="148"/>
      <c r="AB67" s="148"/>
      <c r="AC67" s="148"/>
      <c r="AD67" s="144"/>
      <c r="AO67" s="144"/>
    </row>
    <row r="68" spans="1:41" ht="12" customHeight="1" x14ac:dyDescent="0.2">
      <c r="A68" s="113"/>
      <c r="B68" s="113"/>
      <c r="C68" s="141"/>
      <c r="D68" s="113"/>
      <c r="E68" s="113"/>
      <c r="F68" s="113"/>
      <c r="G68" s="114"/>
      <c r="H68" s="148"/>
      <c r="I68" s="144"/>
      <c r="J68" s="144"/>
      <c r="K68" s="144"/>
      <c r="L68" s="144"/>
      <c r="M68" s="144"/>
      <c r="N68" s="144"/>
      <c r="O68" s="117"/>
      <c r="P68" s="117"/>
      <c r="Q68" s="144"/>
      <c r="R68" s="144"/>
      <c r="S68" s="144"/>
      <c r="T68" s="144"/>
      <c r="U68" s="117"/>
      <c r="V68" s="117"/>
      <c r="W68" s="117"/>
      <c r="X68" s="117"/>
      <c r="Y68" s="117"/>
      <c r="Z68" s="144"/>
      <c r="AA68" s="144"/>
      <c r="AB68" s="144"/>
      <c r="AD68" s="144"/>
      <c r="AO68" s="144"/>
    </row>
    <row r="69" spans="1:41" ht="24.95" customHeight="1" x14ac:dyDescent="0.2">
      <c r="A69" s="113"/>
      <c r="B69" s="113"/>
      <c r="C69" s="540" t="s">
        <v>115</v>
      </c>
      <c r="D69" s="538"/>
      <c r="E69" s="538" t="s">
        <v>529</v>
      </c>
      <c r="F69" s="538" t="s">
        <v>169</v>
      </c>
      <c r="G69" s="538" t="s">
        <v>910</v>
      </c>
      <c r="H69" s="148"/>
      <c r="I69" s="144"/>
      <c r="J69" s="144"/>
      <c r="K69" s="144"/>
      <c r="L69" s="144"/>
      <c r="M69" s="144"/>
      <c r="N69" s="144"/>
      <c r="O69" s="117"/>
      <c r="P69" s="117"/>
      <c r="Q69" s="144"/>
      <c r="R69" s="144"/>
      <c r="S69" s="144"/>
      <c r="T69" s="144"/>
      <c r="U69" s="117"/>
      <c r="V69" s="117"/>
      <c r="W69" s="117"/>
      <c r="X69" s="117"/>
      <c r="Y69" s="117"/>
      <c r="Z69" s="144"/>
      <c r="AA69" s="144"/>
      <c r="AB69" s="144"/>
      <c r="AD69" s="144"/>
      <c r="AO69" s="144"/>
    </row>
    <row r="70" spans="1:41" ht="15" customHeight="1" x14ac:dyDescent="0.2">
      <c r="A70" s="113"/>
      <c r="B70" s="346" t="str">
        <f>IF(AND($G$67=$R$131,E70=""),"&gt;",IF(AND($G$67=$R$131,E70=$R$131,F70=""),"&gt;",""))</f>
        <v/>
      </c>
      <c r="C70" s="123" t="str">
        <f>B45</f>
        <v>Wash hand basin taps</v>
      </c>
      <c r="D70" s="166"/>
      <c r="E70" s="261" t="s">
        <v>523</v>
      </c>
      <c r="F70" s="269">
        <v>1</v>
      </c>
      <c r="G70" s="121">
        <f>IF(ISERROR(IF(OR(E70=$R$132,E70=""),0,G45*F70)),R138,IF(OR(E70=$R$132,E70=""),0,G45*F70))</f>
        <v>0</v>
      </c>
      <c r="H70" s="148"/>
      <c r="I70" s="144"/>
      <c r="J70" s="144"/>
      <c r="K70" s="144"/>
      <c r="L70" s="144"/>
      <c r="M70" s="144"/>
      <c r="N70" s="144"/>
      <c r="O70" s="144"/>
      <c r="P70" s="144"/>
      <c r="Q70" s="144"/>
      <c r="R70" s="144"/>
      <c r="S70" s="144"/>
      <c r="T70" s="144"/>
      <c r="U70" s="144"/>
      <c r="V70" s="144"/>
      <c r="W70" s="144"/>
      <c r="X70" s="144"/>
      <c r="Y70" s="144"/>
      <c r="Z70" s="144"/>
      <c r="AA70" s="144"/>
      <c r="AB70" s="144"/>
      <c r="AD70" s="144"/>
      <c r="AO70" s="144"/>
    </row>
    <row r="71" spans="1:41" ht="15" customHeight="1" x14ac:dyDescent="0.2">
      <c r="A71" s="113"/>
      <c r="B71" s="346" t="str">
        <f>IF(AND($G$67=$R$131,E71=""),"&gt;",IF(AND($G$67=$R$131,E71=$R$131,F71=""),"&gt;",""))</f>
        <v/>
      </c>
      <c r="C71" s="123" t="s">
        <v>397</v>
      </c>
      <c r="D71" s="166"/>
      <c r="E71" s="261" t="s">
        <v>523</v>
      </c>
      <c r="F71" s="269"/>
      <c r="G71" s="121">
        <f>IF(ISERROR(IF(OR(E71=$R$132,E71=""),0,(SUM(G46:G47)*F71))),R138,IF(OR(E71=$R$132,E71=""),0,(SUM(G46:G47)*F71)))</f>
        <v>0</v>
      </c>
      <c r="H71" s="148"/>
      <c r="I71" s="144"/>
      <c r="J71" s="144"/>
      <c r="K71" s="144"/>
      <c r="L71" s="144"/>
      <c r="M71" s="144"/>
      <c r="N71" s="144"/>
      <c r="O71" s="144"/>
      <c r="P71" s="144"/>
      <c r="Q71" s="144"/>
      <c r="R71" s="144"/>
      <c r="S71" s="144"/>
      <c r="T71" s="144"/>
      <c r="U71" s="144"/>
      <c r="V71" s="144"/>
      <c r="W71" s="144"/>
      <c r="X71" s="144"/>
      <c r="Y71" s="144"/>
      <c r="Z71" s="144"/>
      <c r="AA71" s="144"/>
      <c r="AB71" s="144"/>
      <c r="AC71" s="164"/>
      <c r="AD71" s="144"/>
      <c r="AO71" s="144"/>
    </row>
    <row r="72" spans="1:41" ht="15" customHeight="1" x14ac:dyDescent="0.2">
      <c r="A72" s="113"/>
      <c r="B72" s="346" t="str">
        <f>IF($F$22=$R$132,"",IF(AND($G$67=$R$131,E72=""),"&gt;",IF(AND($G$67=$R$131,E72=$R$131,F72=""),"&gt;","")))</f>
        <v/>
      </c>
      <c r="C72" s="123" t="str">
        <f>B52</f>
        <v>Kitchen taps - kitchenette</v>
      </c>
      <c r="D72" s="166"/>
      <c r="E72" s="267" t="s">
        <v>523</v>
      </c>
      <c r="F72" s="269"/>
      <c r="G72" s="121">
        <f>IF(ISERROR(IF(OR(E72=$R$132,E72=""),0,G52*F72)),R138,IF(OR(E72=$R$132,E72=""),0,G52*F72))</f>
        <v>0</v>
      </c>
      <c r="H72" s="148"/>
      <c r="I72" s="144"/>
      <c r="J72" s="144"/>
      <c r="K72" s="144"/>
      <c r="L72" s="144"/>
      <c r="M72" s="144"/>
      <c r="N72" s="144"/>
      <c r="O72" s="144"/>
      <c r="P72" s="144"/>
      <c r="Q72" s="144"/>
      <c r="R72" s="144"/>
      <c r="S72" s="144"/>
      <c r="T72" s="144"/>
      <c r="U72" s="144"/>
      <c r="V72" s="144"/>
      <c r="W72" s="144"/>
      <c r="X72" s="144"/>
      <c r="Y72" s="144"/>
      <c r="Z72" s="144"/>
      <c r="AA72" s="144"/>
      <c r="AB72" s="144"/>
      <c r="AC72" s="164"/>
      <c r="AD72" s="144"/>
      <c r="AO72" s="144"/>
    </row>
    <row r="73" spans="1:41" ht="15" customHeight="1" x14ac:dyDescent="0.2">
      <c r="A73" s="113"/>
      <c r="B73" s="346" t="str">
        <f>IF($F$22=$R$132,"",IF(AND($G$67=$R$131,E73=""),"&gt;",IF(AND($G$67=$R$131,E73=$R$131,F73=""),"&gt;","")))</f>
        <v/>
      </c>
      <c r="C73" s="123" t="s">
        <v>113</v>
      </c>
      <c r="D73" s="166"/>
      <c r="E73" s="267" t="s">
        <v>523</v>
      </c>
      <c r="F73" s="269"/>
      <c r="G73" s="121">
        <f>IF(ISERROR(IF(OR(E73=$R$132,E73=""),0,F73*G53)),R138,IF(OR(E73=$R$132,E73=""),0,F73*G53))</f>
        <v>0</v>
      </c>
      <c r="H73" s="148"/>
      <c r="I73" s="144"/>
      <c r="J73" s="144"/>
      <c r="K73" s="144"/>
      <c r="L73" s="144"/>
      <c r="M73" s="144"/>
      <c r="N73" s="144"/>
      <c r="O73" s="144"/>
      <c r="P73" s="144"/>
      <c r="Q73" s="144"/>
      <c r="R73" s="144"/>
      <c r="S73" s="144"/>
      <c r="T73" s="144"/>
      <c r="U73" s="144"/>
      <c r="V73" s="144"/>
      <c r="W73" s="144"/>
      <c r="X73" s="144"/>
      <c r="Y73" s="144"/>
      <c r="Z73" s="144"/>
      <c r="AA73" s="144"/>
      <c r="AB73" s="144"/>
      <c r="AC73" s="164"/>
      <c r="AD73" s="144"/>
      <c r="AO73" s="144"/>
    </row>
    <row r="74" spans="1:41" ht="15" customHeight="1" x14ac:dyDescent="0.2">
      <c r="A74" s="113"/>
      <c r="B74" s="346" t="str">
        <f>IF($F$23=$R$132,"",IF(AND($G$67=$R$131,E74=""),"&gt;",IF(AND($G$67=$R$131,E74=$R$131,F74=""),"&gt;","")))</f>
        <v/>
      </c>
      <c r="C74" s="123" t="str">
        <f>B55</f>
        <v>Kitchen taps - pre-rinse nozzle</v>
      </c>
      <c r="D74" s="166"/>
      <c r="E74" s="267" t="s">
        <v>523</v>
      </c>
      <c r="F74" s="270"/>
      <c r="G74" s="121">
        <f>IF(ISERROR(IF(OR(E74=$R$132,E74=""),0,G55*F74)),R138,IF(OR(E74=$R$132,E74=""),0,G55*F74))</f>
        <v>0</v>
      </c>
      <c r="H74" s="148"/>
      <c r="I74" s="144"/>
      <c r="J74" s="144"/>
      <c r="K74" s="144"/>
      <c r="L74" s="144"/>
      <c r="M74" s="144"/>
      <c r="N74" s="144"/>
      <c r="O74" s="144"/>
      <c r="P74" s="144"/>
      <c r="Q74" s="144"/>
      <c r="R74" s="144"/>
      <c r="S74" s="144"/>
      <c r="T74" s="144"/>
      <c r="U74" s="144"/>
      <c r="V74" s="144"/>
      <c r="W74" s="144"/>
      <c r="X74" s="144"/>
      <c r="Y74" s="144"/>
      <c r="Z74" s="144"/>
      <c r="AA74" s="144"/>
      <c r="AB74" s="144"/>
      <c r="AC74" s="164"/>
      <c r="AD74" s="144"/>
      <c r="AO74" s="144"/>
    </row>
    <row r="75" spans="1:41" ht="15" customHeight="1" x14ac:dyDescent="0.2">
      <c r="A75" s="113"/>
      <c r="B75" s="346" t="str">
        <f>IF($F$23=$R$132,"",IF(AND($G$67=$R$131,E75=""),"&gt;",IF(AND($G$67=$R$131,E75=$R$131,F75=""),"&gt;","")))</f>
        <v/>
      </c>
      <c r="C75" s="123" t="s">
        <v>114</v>
      </c>
      <c r="D75" s="166"/>
      <c r="E75" s="267" t="s">
        <v>523</v>
      </c>
      <c r="F75" s="270"/>
      <c r="G75" s="121">
        <f>IF(ISERROR(IF(OR(E75=$R$132,E75=""),0,F75*G56)),R138,(IF(OR(E75=$R$132,E75=""),0,F75*G56)))</f>
        <v>0</v>
      </c>
      <c r="H75" s="148"/>
      <c r="I75" s="144"/>
      <c r="J75" s="144"/>
      <c r="K75" s="144"/>
      <c r="L75" s="144"/>
      <c r="M75" s="144"/>
      <c r="N75" s="144"/>
      <c r="O75" s="144"/>
      <c r="P75" s="144"/>
      <c r="Q75" s="144"/>
      <c r="R75" s="144"/>
      <c r="S75" s="144"/>
      <c r="T75" s="144"/>
      <c r="U75" s="144"/>
      <c r="V75" s="144"/>
      <c r="W75" s="144"/>
      <c r="X75" s="144"/>
      <c r="Y75" s="144"/>
      <c r="Z75" s="144"/>
      <c r="AA75" s="144"/>
      <c r="AB75" s="144"/>
      <c r="AC75" s="164"/>
      <c r="AD75" s="144"/>
      <c r="AO75" s="144"/>
    </row>
    <row r="76" spans="1:41" ht="15" hidden="1" customHeight="1" x14ac:dyDescent="0.2">
      <c r="A76" s="113"/>
      <c r="B76" s="288" t="s">
        <v>735</v>
      </c>
      <c r="C76" s="280" t="s">
        <v>79</v>
      </c>
      <c r="D76" s="281"/>
      <c r="E76" s="285"/>
      <c r="F76" s="286"/>
      <c r="G76" s="282" t="e">
        <f>IF(OR(E76=R132,E76="",E48="N/A",E49="N/A"),0,(SUM(G48:G49)*F76))</f>
        <v>#N/A</v>
      </c>
      <c r="H76" s="510" t="s">
        <v>735</v>
      </c>
      <c r="I76" s="332"/>
      <c r="J76" s="144"/>
      <c r="K76" s="144"/>
      <c r="L76" s="144"/>
      <c r="M76" s="144"/>
      <c r="N76" s="144"/>
      <c r="O76" s="144"/>
      <c r="P76" s="144"/>
      <c r="Q76" s="144"/>
      <c r="R76" s="144"/>
      <c r="S76" s="144"/>
      <c r="T76" s="144"/>
      <c r="U76" s="144"/>
      <c r="V76" s="144"/>
      <c r="W76" s="144"/>
      <c r="X76" s="144"/>
      <c r="Y76" s="144"/>
      <c r="Z76" s="144"/>
      <c r="AA76" s="144"/>
      <c r="AB76" s="144"/>
      <c r="AC76" s="164"/>
      <c r="AD76" s="144"/>
      <c r="AO76" s="144"/>
    </row>
    <row r="77" spans="1:41" ht="15" hidden="1" customHeight="1" x14ac:dyDescent="0.2">
      <c r="A77" s="113"/>
      <c r="B77" s="288" t="s">
        <v>735</v>
      </c>
      <c r="C77" s="283" t="str">
        <f>B58</f>
        <v>Washing machine</v>
      </c>
      <c r="D77" s="284"/>
      <c r="E77" s="260"/>
      <c r="F77" s="287"/>
      <c r="G77" s="121">
        <f>IF(OR(E77=R133,E77=""),0,F77*G58)</f>
        <v>0</v>
      </c>
      <c r="H77" s="510" t="s">
        <v>735</v>
      </c>
      <c r="I77" s="332"/>
      <c r="J77" s="144"/>
      <c r="K77" s="144"/>
      <c r="L77" s="144"/>
      <c r="M77" s="144"/>
      <c r="N77" s="144"/>
      <c r="O77" s="144"/>
      <c r="P77" s="144"/>
      <c r="Q77" s="144"/>
      <c r="R77" s="144"/>
      <c r="S77" s="144"/>
      <c r="T77" s="144"/>
      <c r="U77" s="144"/>
      <c r="V77" s="144"/>
      <c r="W77" s="144"/>
      <c r="X77" s="144"/>
      <c r="Y77" s="144"/>
      <c r="Z77" s="144"/>
      <c r="AA77" s="144"/>
      <c r="AB77" s="144"/>
      <c r="AC77" s="164"/>
      <c r="AD77" s="144"/>
      <c r="AO77" s="144"/>
    </row>
    <row r="78" spans="1:41" ht="24.95" customHeight="1" x14ac:dyDescent="0.2">
      <c r="A78" s="113"/>
      <c r="B78" s="113"/>
      <c r="C78" s="538" t="s">
        <v>168</v>
      </c>
      <c r="D78" s="538" t="s">
        <v>911</v>
      </c>
      <c r="E78" s="538" t="s">
        <v>912</v>
      </c>
      <c r="F78" s="538" t="s">
        <v>913</v>
      </c>
      <c r="G78" s="538" t="s">
        <v>910</v>
      </c>
      <c r="H78" s="619" t="str">
        <f>IF(G67=R131,O152,"")</f>
        <v/>
      </c>
      <c r="I78" s="603"/>
      <c r="J78" s="603"/>
      <c r="K78" s="603"/>
      <c r="L78" s="603"/>
      <c r="M78" s="603"/>
      <c r="N78" s="514"/>
      <c r="O78" s="144"/>
      <c r="P78" s="144"/>
      <c r="Q78" s="144"/>
      <c r="R78" s="144"/>
      <c r="S78" s="144"/>
      <c r="T78" s="144"/>
      <c r="U78" s="144"/>
      <c r="V78" s="144"/>
      <c r="W78" s="144"/>
      <c r="X78" s="144"/>
      <c r="Y78" s="144"/>
      <c r="Z78" s="144"/>
      <c r="AA78" s="144"/>
      <c r="AB78" s="144"/>
      <c r="AC78" s="165"/>
      <c r="AD78" s="144"/>
      <c r="AO78" s="144"/>
    </row>
    <row r="79" spans="1:41" ht="15" customHeight="1" x14ac:dyDescent="0.2">
      <c r="A79" s="113"/>
      <c r="B79" s="113"/>
      <c r="C79" s="130" t="s">
        <v>398</v>
      </c>
      <c r="D79" s="261">
        <v>500</v>
      </c>
      <c r="E79" s="261">
        <v>1</v>
      </c>
      <c r="F79" s="121">
        <f>IF(D79="","",D79/E79)</f>
        <v>500</v>
      </c>
      <c r="G79" s="121" t="e">
        <f>IF(D79="",0,F79/O140)</f>
        <v>#DIV/0!</v>
      </c>
      <c r="H79" s="619"/>
      <c r="I79" s="603"/>
      <c r="J79" s="603"/>
      <c r="K79" s="603"/>
      <c r="L79" s="603"/>
      <c r="M79" s="603"/>
      <c r="N79" s="514"/>
      <c r="O79" s="144"/>
      <c r="P79" s="144"/>
      <c r="Q79" s="144"/>
      <c r="R79" s="144"/>
      <c r="S79" s="144"/>
      <c r="T79" s="144"/>
      <c r="U79" s="144"/>
      <c r="V79" s="144"/>
      <c r="W79" s="144"/>
      <c r="X79" s="144"/>
      <c r="Y79" s="144"/>
      <c r="Z79" s="144"/>
      <c r="AA79" s="144"/>
      <c r="AB79" s="144"/>
      <c r="AC79" s="164"/>
      <c r="AD79" s="144"/>
      <c r="AO79" s="144"/>
    </row>
    <row r="80" spans="1:41" ht="15" customHeight="1" x14ac:dyDescent="0.2">
      <c r="A80" s="113"/>
      <c r="B80" s="113"/>
      <c r="C80" s="113"/>
      <c r="D80" s="113"/>
      <c r="E80" s="113"/>
      <c r="F80" s="113"/>
      <c r="G80" s="113"/>
      <c r="H80" s="148"/>
      <c r="I80" s="144"/>
      <c r="J80" s="144"/>
      <c r="K80" s="144"/>
      <c r="L80" s="144"/>
      <c r="M80" s="144"/>
      <c r="N80" s="144"/>
      <c r="O80" s="144"/>
      <c r="P80" s="144"/>
      <c r="Q80" s="144"/>
      <c r="R80" s="144"/>
      <c r="S80" s="144"/>
      <c r="T80" s="144"/>
      <c r="U80" s="144"/>
      <c r="V80" s="144"/>
      <c r="W80" s="144"/>
      <c r="X80" s="144"/>
      <c r="Y80" s="144"/>
      <c r="Z80" s="144"/>
      <c r="AA80" s="144"/>
      <c r="AB80" s="144"/>
      <c r="AC80" s="164"/>
      <c r="AD80" s="144"/>
      <c r="AO80" s="144"/>
    </row>
    <row r="81" spans="1:41" ht="24.95" customHeight="1" x14ac:dyDescent="0.2">
      <c r="A81" s="113"/>
      <c r="B81" s="113"/>
      <c r="C81" s="113"/>
      <c r="D81" s="113"/>
      <c r="E81" s="113"/>
      <c r="F81" s="113"/>
      <c r="G81" s="538" t="s">
        <v>656</v>
      </c>
      <c r="H81" s="148"/>
      <c r="I81" s="144"/>
      <c r="J81" s="144"/>
      <c r="K81" s="144"/>
      <c r="L81" s="144"/>
      <c r="M81" s="144"/>
      <c r="N81" s="144"/>
      <c r="O81" s="144"/>
      <c r="P81" s="144"/>
      <c r="Q81" s="144"/>
      <c r="R81" s="144"/>
      <c r="S81" s="144"/>
      <c r="T81" s="144"/>
      <c r="U81" s="144"/>
      <c r="V81" s="144"/>
      <c r="W81" s="144"/>
      <c r="X81" s="144"/>
      <c r="Y81" s="144"/>
      <c r="Z81" s="144"/>
      <c r="AA81" s="144"/>
      <c r="AB81" s="144"/>
      <c r="AC81" s="164"/>
      <c r="AD81" s="144"/>
      <c r="AO81" s="144"/>
    </row>
    <row r="82" spans="1:41" ht="15" customHeight="1" x14ac:dyDescent="0.2">
      <c r="A82" s="113"/>
      <c r="B82" s="113"/>
      <c r="C82" s="113"/>
      <c r="D82" s="113"/>
      <c r="E82" s="113"/>
      <c r="F82" s="140" t="s">
        <v>5</v>
      </c>
      <c r="G82" s="121" t="str">
        <f>IF(B13=R130,R138,IF(OR(G67=R133,G67=R132),0,SUM(G70:G77)+G79))</f>
        <v>Requires building information</v>
      </c>
      <c r="H82" s="148"/>
      <c r="I82" s="144"/>
      <c r="J82" s="144"/>
      <c r="K82" s="144"/>
      <c r="L82" s="144"/>
      <c r="M82" s="144"/>
      <c r="N82" s="144"/>
      <c r="O82" s="144"/>
      <c r="P82" s="144"/>
      <c r="Q82" s="144"/>
      <c r="R82" s="144"/>
      <c r="S82" s="144"/>
      <c r="T82" s="144"/>
      <c r="U82" s="144"/>
      <c r="V82" s="144"/>
      <c r="W82" s="144"/>
      <c r="X82" s="144"/>
      <c r="Y82" s="144"/>
      <c r="Z82" s="144"/>
      <c r="AA82" s="144"/>
      <c r="AB82" s="144"/>
      <c r="AD82" s="144"/>
      <c r="AO82" s="144"/>
    </row>
    <row r="83" spans="1:41" ht="24.95" customHeight="1" x14ac:dyDescent="0.2">
      <c r="A83" s="113"/>
      <c r="B83" s="113"/>
      <c r="C83" s="113"/>
      <c r="D83" s="113"/>
      <c r="E83" s="113"/>
      <c r="F83" s="113"/>
      <c r="G83" s="114"/>
      <c r="H83" s="148"/>
      <c r="I83" s="144"/>
      <c r="J83" s="144"/>
      <c r="K83" s="144"/>
      <c r="L83" s="144"/>
      <c r="M83" s="144"/>
      <c r="N83" s="144"/>
      <c r="O83" s="144"/>
      <c r="P83" s="144"/>
      <c r="Q83" s="144"/>
      <c r="R83" s="144"/>
      <c r="S83" s="144"/>
      <c r="T83" s="144"/>
      <c r="U83" s="144"/>
      <c r="V83" s="144"/>
      <c r="W83" s="144"/>
      <c r="X83" s="144"/>
      <c r="Y83" s="144"/>
      <c r="Z83" s="144"/>
      <c r="AA83" s="144"/>
      <c r="AB83" s="144"/>
      <c r="AD83" s="144"/>
      <c r="AO83" s="144"/>
    </row>
    <row r="84" spans="1:41" ht="32.1" customHeight="1" x14ac:dyDescent="0.2">
      <c r="A84" s="113"/>
      <c r="B84" s="516" t="s">
        <v>914</v>
      </c>
      <c r="C84" s="516"/>
      <c r="D84" s="516"/>
      <c r="E84" s="516"/>
      <c r="F84" s="516"/>
      <c r="G84" s="516"/>
      <c r="H84" s="148"/>
      <c r="I84" s="144"/>
      <c r="J84" s="144"/>
      <c r="K84" s="144"/>
      <c r="L84" s="144"/>
      <c r="M84" s="144"/>
      <c r="N84" s="144"/>
      <c r="O84" s="144"/>
      <c r="P84" s="144"/>
      <c r="Q84" s="144"/>
      <c r="R84" s="144"/>
      <c r="S84" s="144"/>
      <c r="T84" s="144"/>
      <c r="U84" s="144"/>
      <c r="V84" s="144"/>
      <c r="W84" s="144"/>
      <c r="X84" s="144"/>
      <c r="Y84" s="144"/>
      <c r="Z84" s="144"/>
      <c r="AA84" s="144"/>
      <c r="AB84" s="144"/>
      <c r="AD84" s="144"/>
      <c r="AO84" s="144"/>
    </row>
    <row r="85" spans="1:41" ht="24.95" customHeight="1" x14ac:dyDescent="0.2">
      <c r="A85" s="113"/>
      <c r="B85" s="136"/>
      <c r="C85" s="136"/>
      <c r="D85" s="113"/>
      <c r="E85" s="113"/>
      <c r="F85" s="113"/>
      <c r="G85" s="114"/>
      <c r="H85" s="148"/>
      <c r="I85" s="144"/>
      <c r="J85" s="144"/>
      <c r="K85" s="144"/>
      <c r="L85" s="144"/>
      <c r="M85" s="144"/>
      <c r="N85" s="144"/>
      <c r="O85" s="144"/>
      <c r="P85" s="144"/>
      <c r="Q85" s="144"/>
      <c r="R85" s="144"/>
      <c r="S85" s="144"/>
      <c r="T85" s="144"/>
      <c r="U85" s="144"/>
      <c r="V85" s="144"/>
      <c r="W85" s="144"/>
      <c r="X85" s="144"/>
      <c r="Y85" s="144"/>
      <c r="Z85" s="144"/>
      <c r="AA85" s="144"/>
      <c r="AB85" s="144"/>
      <c r="AD85" s="144"/>
      <c r="AO85" s="144"/>
    </row>
    <row r="86" spans="1:41" ht="15" customHeight="1" x14ac:dyDescent="0.2">
      <c r="A86" s="346" t="str">
        <f>IF(G86=$R$130,"&gt;","")</f>
        <v>&gt;</v>
      </c>
      <c r="B86" s="115"/>
      <c r="C86" s="132"/>
      <c r="D86" s="133"/>
      <c r="E86" s="133"/>
      <c r="F86" s="134" t="s">
        <v>992</v>
      </c>
      <c r="G86" s="272" t="s">
        <v>654</v>
      </c>
      <c r="H86" s="148"/>
      <c r="I86" s="144"/>
      <c r="J86" s="144"/>
      <c r="K86" s="144"/>
      <c r="L86" s="144"/>
      <c r="M86" s="144"/>
      <c r="N86" s="144"/>
      <c r="O86" s="144"/>
      <c r="P86" s="144"/>
      <c r="Q86" s="144"/>
      <c r="R86" s="144"/>
      <c r="S86" s="144"/>
      <c r="T86" s="144"/>
      <c r="U86" s="144"/>
      <c r="V86" s="144"/>
      <c r="W86" s="144"/>
      <c r="X86" s="144"/>
      <c r="Y86" s="144"/>
      <c r="Z86" s="144"/>
      <c r="AA86" s="144"/>
      <c r="AB86" s="144"/>
      <c r="AD86" s="144"/>
      <c r="AO86" s="144"/>
    </row>
    <row r="87" spans="1:41" x14ac:dyDescent="0.2">
      <c r="A87" s="113"/>
      <c r="B87" s="113"/>
      <c r="C87" s="113"/>
      <c r="D87" s="113"/>
      <c r="E87" s="113"/>
      <c r="F87" s="168"/>
      <c r="G87" s="114"/>
      <c r="H87" s="148"/>
      <c r="I87" s="144"/>
      <c r="J87" s="144"/>
      <c r="K87" s="144"/>
      <c r="L87" s="144"/>
      <c r="M87" s="144"/>
      <c r="N87" s="144"/>
      <c r="O87" s="144"/>
      <c r="P87" s="144"/>
      <c r="Q87" s="144"/>
      <c r="R87" s="144"/>
      <c r="S87" s="144"/>
      <c r="T87" s="144"/>
      <c r="U87" s="144"/>
      <c r="V87" s="144"/>
      <c r="W87" s="144"/>
      <c r="X87" s="144"/>
      <c r="Y87" s="144"/>
      <c r="Z87" s="144"/>
      <c r="AA87" s="144"/>
      <c r="AB87" s="144"/>
      <c r="AD87" s="144"/>
      <c r="AO87" s="144"/>
    </row>
    <row r="88" spans="1:41" ht="15" customHeight="1" x14ac:dyDescent="0.2">
      <c r="A88" s="346" t="str">
        <f>IF(AND($G$86=$R$131,G88=$R$130),"&gt;","")</f>
        <v/>
      </c>
      <c r="B88" s="115"/>
      <c r="C88" s="132"/>
      <c r="D88" s="133"/>
      <c r="E88" s="133"/>
      <c r="F88" s="134" t="s">
        <v>32</v>
      </c>
      <c r="G88" s="272" t="s">
        <v>530</v>
      </c>
      <c r="H88" s="148"/>
      <c r="I88" s="144"/>
      <c r="J88" s="144"/>
      <c r="K88" s="144"/>
      <c r="L88" s="144"/>
      <c r="M88" s="144"/>
      <c r="N88" s="144"/>
      <c r="O88" s="144"/>
      <c r="P88" s="144"/>
      <c r="Q88" s="144"/>
      <c r="R88" s="144"/>
      <c r="S88" s="144"/>
      <c r="T88" s="144"/>
      <c r="U88" s="144"/>
      <c r="V88" s="144"/>
      <c r="W88" s="144"/>
      <c r="X88" s="144"/>
      <c r="Y88" s="144"/>
      <c r="Z88" s="144"/>
      <c r="AA88" s="144"/>
      <c r="AB88" s="144"/>
      <c r="AD88" s="144"/>
      <c r="AO88" s="144"/>
    </row>
    <row r="89" spans="1:41" ht="24.95" customHeight="1" x14ac:dyDescent="0.2">
      <c r="A89" s="113"/>
      <c r="B89" s="142" t="s">
        <v>915</v>
      </c>
      <c r="C89" s="113"/>
      <c r="D89" s="113"/>
      <c r="E89" s="113"/>
      <c r="F89" s="113"/>
      <c r="G89" s="169"/>
      <c r="H89" s="148"/>
      <c r="I89" s="144"/>
      <c r="J89" s="144"/>
      <c r="K89" s="144"/>
      <c r="L89" s="144"/>
      <c r="M89" s="144"/>
      <c r="N89" s="144"/>
      <c r="O89" s="144"/>
      <c r="P89" s="144"/>
      <c r="Q89" s="144"/>
      <c r="R89" s="144"/>
      <c r="S89" s="144"/>
      <c r="T89" s="144"/>
      <c r="U89" s="144"/>
      <c r="V89" s="144"/>
      <c r="W89" s="144"/>
      <c r="X89" s="144"/>
      <c r="Y89" s="144"/>
      <c r="Z89" s="144"/>
      <c r="AA89" s="144"/>
      <c r="AB89" s="144"/>
      <c r="AD89" s="144"/>
      <c r="AO89" s="144"/>
    </row>
    <row r="90" spans="1:41" ht="25.5" x14ac:dyDescent="0.2">
      <c r="A90" s="113"/>
      <c r="B90" s="538" t="s">
        <v>531</v>
      </c>
      <c r="C90" s="538" t="s">
        <v>401</v>
      </c>
      <c r="D90" s="538" t="s">
        <v>400</v>
      </c>
      <c r="E90" s="538" t="s">
        <v>916</v>
      </c>
      <c r="F90" s="538" t="s">
        <v>917</v>
      </c>
      <c r="G90" s="538" t="s">
        <v>918</v>
      </c>
      <c r="H90" s="148"/>
      <c r="I90" s="165"/>
      <c r="J90" s="165"/>
      <c r="K90" s="165"/>
      <c r="L90" s="165"/>
      <c r="M90" s="165"/>
      <c r="N90" s="165"/>
      <c r="O90" s="165"/>
      <c r="P90" s="165"/>
      <c r="Q90" s="165"/>
      <c r="R90" s="165"/>
      <c r="S90" s="165"/>
      <c r="T90" s="165"/>
      <c r="U90" s="165"/>
      <c r="V90" s="165"/>
      <c r="W90" s="165"/>
      <c r="X90" s="165"/>
      <c r="Y90" s="165"/>
      <c r="Z90" s="165"/>
      <c r="AA90" s="165"/>
      <c r="AB90" s="165"/>
      <c r="AC90" s="165"/>
      <c r="AD90" s="144"/>
      <c r="AO90" s="144"/>
    </row>
    <row r="91" spans="1:41" ht="15" customHeight="1" x14ac:dyDescent="0.2">
      <c r="A91" s="346" t="str">
        <f>IF(AND($G$86=$R$131,$G$88=$T$131,OR(B91="",C91="",D91="",E91="")),"&gt;","")</f>
        <v/>
      </c>
      <c r="B91" s="261">
        <v>2000</v>
      </c>
      <c r="C91" s="261">
        <v>786</v>
      </c>
      <c r="D91" s="277">
        <v>0.9</v>
      </c>
      <c r="E91" s="277">
        <v>0.9</v>
      </c>
      <c r="F91" s="135">
        <f>B91*E91*D91*C91</f>
        <v>1273320</v>
      </c>
      <c r="G91" s="119">
        <f>IF(ISERROR(IF(OR(G86=R133,G86=R132,G88=T132),0,(F91/365)/O140)),R138,IF(OR(G86=R133,G86=R132,G88=T132),0,(F91/365)/O140))</f>
        <v>0</v>
      </c>
      <c r="H91" s="148"/>
      <c r="I91" s="164"/>
      <c r="J91" s="164"/>
      <c r="K91" s="164"/>
      <c r="L91" s="164"/>
      <c r="M91" s="164"/>
      <c r="N91" s="164"/>
      <c r="O91" s="164"/>
      <c r="P91" s="164"/>
      <c r="Q91" s="164"/>
      <c r="R91" s="164"/>
      <c r="S91" s="164"/>
      <c r="T91" s="164"/>
      <c r="U91" s="164"/>
      <c r="V91" s="164"/>
      <c r="W91" s="164"/>
      <c r="X91" s="164"/>
      <c r="Y91" s="164"/>
      <c r="Z91" s="164"/>
      <c r="AA91" s="164"/>
      <c r="AB91" s="164"/>
      <c r="AC91" s="164"/>
      <c r="AD91" s="144"/>
      <c r="AO91" s="144"/>
    </row>
    <row r="92" spans="1:41" ht="24.95" customHeight="1" x14ac:dyDescent="0.2">
      <c r="A92" s="113"/>
      <c r="B92" s="113"/>
      <c r="C92" s="113"/>
      <c r="D92" s="113"/>
      <c r="E92" s="113"/>
      <c r="F92" s="142" t="s">
        <v>162</v>
      </c>
      <c r="G92" s="114"/>
      <c r="H92" s="148"/>
      <c r="I92" s="165"/>
      <c r="J92" s="165"/>
      <c r="K92" s="165"/>
      <c r="L92" s="165"/>
      <c r="M92" s="165"/>
      <c r="N92" s="165"/>
      <c r="O92" s="165"/>
      <c r="P92" s="165"/>
      <c r="Q92" s="165"/>
      <c r="R92" s="165"/>
      <c r="S92" s="165"/>
      <c r="T92" s="165"/>
      <c r="U92" s="165"/>
      <c r="V92" s="165"/>
      <c r="W92" s="165"/>
      <c r="X92" s="165"/>
      <c r="Y92" s="165"/>
      <c r="Z92" s="165"/>
      <c r="AA92" s="165"/>
      <c r="AB92" s="165"/>
      <c r="AC92" s="165"/>
      <c r="AD92" s="144"/>
      <c r="AO92" s="144"/>
    </row>
    <row r="93" spans="1:41" ht="25.5" x14ac:dyDescent="0.2">
      <c r="A93" s="113"/>
      <c r="B93" s="113"/>
      <c r="C93" s="113"/>
      <c r="D93" s="113"/>
      <c r="E93" s="113"/>
      <c r="F93" s="538" t="s">
        <v>403</v>
      </c>
      <c r="G93" s="538" t="s">
        <v>919</v>
      </c>
      <c r="H93" s="148"/>
      <c r="I93" s="164"/>
      <c r="J93" s="164"/>
      <c r="K93" s="164"/>
      <c r="L93" s="164"/>
      <c r="M93" s="164"/>
      <c r="N93" s="164"/>
      <c r="O93" s="164"/>
      <c r="P93" s="164"/>
      <c r="Q93" s="164"/>
      <c r="R93" s="164"/>
      <c r="S93" s="164"/>
      <c r="T93" s="164"/>
      <c r="U93" s="164"/>
      <c r="V93" s="164"/>
      <c r="W93" s="164"/>
      <c r="X93" s="164"/>
      <c r="Y93" s="164"/>
      <c r="Z93" s="164"/>
      <c r="AA93" s="164"/>
      <c r="AB93" s="164"/>
      <c r="AC93" s="164"/>
      <c r="AD93" s="144"/>
      <c r="AO93" s="144"/>
    </row>
    <row r="94" spans="1:41" ht="15" customHeight="1" x14ac:dyDescent="0.2">
      <c r="A94" s="113"/>
      <c r="B94" s="113"/>
      <c r="C94" s="113"/>
      <c r="D94" s="113"/>
      <c r="E94" s="346" t="str">
        <f>IF(AND($G$86=$R$131,$G$88=$T$132,F94=""),"&gt;","")</f>
        <v/>
      </c>
      <c r="F94" s="261">
        <v>5000</v>
      </c>
      <c r="G94" s="119" t="str">
        <f>IF(ISERROR(IF(OR(G88=T131,G86=R133,G86=R132),0,(F94/O140))),R138,IF(OR(G88=T131,G86=R133,G86=R132),0,(F94/O140)))</f>
        <v>Requires building information</v>
      </c>
      <c r="H94" s="164"/>
      <c r="I94" s="164"/>
      <c r="J94" s="164"/>
      <c r="K94" s="164"/>
      <c r="L94" s="164"/>
      <c r="M94" s="164"/>
      <c r="N94" s="164"/>
      <c r="O94" s="164"/>
      <c r="P94" s="164"/>
      <c r="Q94" s="164"/>
      <c r="R94" s="164"/>
      <c r="S94" s="164"/>
      <c r="T94" s="164"/>
      <c r="U94" s="164"/>
      <c r="V94" s="164"/>
      <c r="W94" s="164"/>
      <c r="X94" s="164"/>
      <c r="Y94" s="164"/>
      <c r="Z94" s="164"/>
      <c r="AA94" s="164"/>
      <c r="AB94" s="164"/>
      <c r="AC94" s="164"/>
      <c r="AD94" s="144"/>
      <c r="AO94" s="144"/>
    </row>
    <row r="95" spans="1:41" ht="24.95" customHeight="1" x14ac:dyDescent="0.2">
      <c r="A95" s="113"/>
      <c r="B95" s="113"/>
      <c r="C95" s="113"/>
      <c r="D95" s="113"/>
      <c r="E95" s="113"/>
      <c r="F95" s="113"/>
      <c r="G95" s="114"/>
      <c r="H95" s="148"/>
      <c r="I95" s="144"/>
      <c r="J95" s="144"/>
      <c r="K95" s="144"/>
      <c r="L95" s="144"/>
      <c r="M95" s="144"/>
      <c r="N95" s="144"/>
      <c r="O95" s="144"/>
      <c r="P95" s="144"/>
      <c r="Q95" s="144"/>
      <c r="R95" s="144"/>
      <c r="S95" s="144"/>
      <c r="T95" s="144"/>
      <c r="U95" s="144"/>
      <c r="V95" s="144"/>
      <c r="W95" s="144"/>
      <c r="X95" s="144"/>
      <c r="Y95" s="144"/>
      <c r="Z95" s="144"/>
      <c r="AA95" s="144"/>
      <c r="AB95" s="144"/>
      <c r="AD95" s="144"/>
      <c r="AO95" s="144"/>
    </row>
    <row r="96" spans="1:41" ht="32.1" customHeight="1" x14ac:dyDescent="0.2">
      <c r="A96" s="113"/>
      <c r="B96" s="516" t="s">
        <v>628</v>
      </c>
      <c r="C96" s="516"/>
      <c r="D96" s="516"/>
      <c r="E96" s="516"/>
      <c r="F96" s="516"/>
      <c r="G96" s="516"/>
      <c r="H96" s="148"/>
      <c r="I96" s="144"/>
      <c r="J96" s="144"/>
      <c r="K96" s="144"/>
      <c r="L96" s="144"/>
      <c r="M96" s="144"/>
      <c r="N96" s="144"/>
      <c r="O96" s="144"/>
      <c r="P96" s="144"/>
      <c r="Q96" s="144"/>
      <c r="R96" s="144"/>
      <c r="S96" s="144"/>
      <c r="T96" s="144"/>
      <c r="U96" s="144"/>
      <c r="V96" s="144"/>
      <c r="W96" s="144"/>
      <c r="X96" s="144"/>
      <c r="Y96" s="144"/>
      <c r="Z96" s="144"/>
      <c r="AA96" s="144"/>
      <c r="AB96" s="144"/>
      <c r="AD96" s="144"/>
      <c r="AO96" s="144"/>
    </row>
    <row r="97" spans="1:41" ht="24.95" customHeight="1" x14ac:dyDescent="0.2">
      <c r="A97" s="113"/>
      <c r="B97" s="113"/>
      <c r="C97" s="113"/>
      <c r="D97" s="113"/>
      <c r="E97" s="113"/>
      <c r="F97" s="113"/>
      <c r="G97" s="114"/>
      <c r="H97" s="148"/>
      <c r="I97" s="144"/>
      <c r="J97" s="144"/>
      <c r="K97" s="144"/>
      <c r="L97" s="144"/>
      <c r="M97" s="144"/>
      <c r="N97" s="144"/>
      <c r="O97" s="144"/>
      <c r="P97" s="144"/>
      <c r="Q97" s="144"/>
      <c r="R97" s="144"/>
      <c r="S97" s="144"/>
      <c r="T97" s="144"/>
      <c r="U97" s="144"/>
      <c r="V97" s="144"/>
      <c r="W97" s="144"/>
      <c r="X97" s="144"/>
      <c r="Y97" s="144"/>
      <c r="Z97" s="144"/>
      <c r="AA97" s="144"/>
      <c r="AB97" s="144"/>
      <c r="AD97" s="144"/>
      <c r="AO97" s="144"/>
    </row>
    <row r="98" spans="1:41" ht="24.95" customHeight="1" x14ac:dyDescent="0.2">
      <c r="A98" s="113"/>
      <c r="B98" s="113"/>
      <c r="C98" s="113"/>
      <c r="D98" s="113"/>
      <c r="E98" s="113"/>
      <c r="F98" s="113"/>
      <c r="G98" s="538" t="s">
        <v>658</v>
      </c>
      <c r="H98" s="148"/>
      <c r="I98" s="144"/>
      <c r="J98" s="144"/>
      <c r="K98" s="144"/>
      <c r="L98" s="144"/>
      <c r="M98" s="144"/>
      <c r="N98" s="144"/>
      <c r="O98" s="144"/>
      <c r="P98" s="144"/>
      <c r="Q98" s="144"/>
      <c r="R98" s="144"/>
      <c r="S98" s="144"/>
      <c r="T98" s="144"/>
      <c r="U98" s="144"/>
      <c r="V98" s="144"/>
      <c r="W98" s="144"/>
      <c r="X98" s="144"/>
      <c r="Y98" s="144"/>
      <c r="Z98" s="144"/>
      <c r="AA98" s="144"/>
      <c r="AB98" s="144"/>
      <c r="AD98" s="144"/>
      <c r="AO98" s="144"/>
    </row>
    <row r="99" spans="1:41" ht="15" customHeight="1" x14ac:dyDescent="0.2">
      <c r="A99" s="113"/>
      <c r="B99" s="113"/>
      <c r="C99" s="113"/>
      <c r="D99" s="113"/>
      <c r="E99" s="113"/>
      <c r="F99" s="140" t="s">
        <v>5</v>
      </c>
      <c r="G99" s="119" t="str">
        <f>IF(ISERROR(G94+G91+G82),R138,G94+G91+G82)</f>
        <v>Requires building information</v>
      </c>
      <c r="H99" s="148"/>
      <c r="I99" s="144"/>
      <c r="J99" s="144"/>
      <c r="K99" s="144"/>
      <c r="L99" s="144"/>
      <c r="M99" s="144"/>
      <c r="N99" s="144"/>
      <c r="O99" s="144"/>
      <c r="P99" s="144"/>
      <c r="Q99" s="144"/>
      <c r="R99" s="144"/>
      <c r="S99" s="144"/>
      <c r="T99" s="144"/>
      <c r="U99" s="144"/>
      <c r="V99" s="144"/>
      <c r="W99" s="144"/>
      <c r="X99" s="144"/>
      <c r="Y99" s="144"/>
      <c r="Z99" s="144"/>
      <c r="AA99" s="144"/>
      <c r="AB99" s="144"/>
      <c r="AD99" s="144"/>
      <c r="AO99" s="144"/>
    </row>
    <row r="100" spans="1:41" x14ac:dyDescent="0.2">
      <c r="A100" s="113"/>
      <c r="B100" s="113"/>
      <c r="C100" s="113"/>
      <c r="D100" s="113"/>
      <c r="E100" s="113"/>
      <c r="F100" s="113"/>
      <c r="G100" s="114"/>
      <c r="H100" s="148"/>
      <c r="I100" s="144"/>
      <c r="J100" s="144"/>
      <c r="K100" s="144"/>
      <c r="L100" s="144"/>
      <c r="M100" s="144"/>
      <c r="N100" s="144"/>
      <c r="O100" s="144"/>
      <c r="P100" s="144"/>
      <c r="Q100" s="144"/>
      <c r="R100" s="144"/>
      <c r="S100" s="144"/>
      <c r="T100" s="144"/>
      <c r="U100" s="144"/>
      <c r="V100" s="144"/>
      <c r="W100" s="144"/>
      <c r="X100" s="144"/>
      <c r="Y100" s="144"/>
      <c r="Z100" s="144"/>
      <c r="AA100" s="144"/>
      <c r="AB100" s="144"/>
      <c r="AD100" s="144"/>
      <c r="AO100" s="144"/>
    </row>
    <row r="101" spans="1:41" ht="39" customHeight="1" x14ac:dyDescent="0.2">
      <c r="A101" s="113"/>
      <c r="B101" s="113"/>
      <c r="C101" s="113"/>
      <c r="D101" s="538" t="s">
        <v>384</v>
      </c>
      <c r="E101" s="538" t="s">
        <v>920</v>
      </c>
      <c r="F101" s="538" t="s">
        <v>161</v>
      </c>
      <c r="G101" s="538" t="s">
        <v>1</v>
      </c>
      <c r="H101" s="148"/>
      <c r="I101" s="144"/>
      <c r="J101" s="144"/>
      <c r="K101" s="144"/>
      <c r="L101" s="144"/>
      <c r="M101" s="144"/>
      <c r="N101" s="144"/>
      <c r="O101" s="144"/>
      <c r="P101" s="144"/>
      <c r="Q101" s="144"/>
      <c r="R101" s="144"/>
      <c r="S101" s="144"/>
      <c r="T101" s="144"/>
      <c r="U101" s="144"/>
      <c r="V101" s="144"/>
      <c r="W101" s="144"/>
      <c r="X101" s="144"/>
      <c r="Y101" s="144"/>
      <c r="Z101" s="144"/>
      <c r="AA101" s="144"/>
      <c r="AB101" s="144"/>
      <c r="AD101" s="144"/>
      <c r="AO101" s="144"/>
    </row>
    <row r="102" spans="1:41" ht="15" customHeight="1" x14ac:dyDescent="0.2">
      <c r="A102" s="113"/>
      <c r="B102" s="113"/>
      <c r="C102" s="346" t="str">
        <f>IF(AND(OR($G$67=$R$130,$G$67=$R$132,$G$67=$R$133),OR($G$86=$R$130,$G$86=$R$132,$G$86=$R$133)),"",IF(E102=$R$132,"",IF(OR(E102="",F102=""),"&gt;","")))</f>
        <v/>
      </c>
      <c r="D102" s="205" t="s">
        <v>269</v>
      </c>
      <c r="E102" s="273" t="s">
        <v>522</v>
      </c>
      <c r="F102" s="274">
        <v>0.6</v>
      </c>
      <c r="G102" s="206">
        <f>IF(E102="no",0,F102*SUM(G30:G31))</f>
        <v>0</v>
      </c>
      <c r="H102" s="148"/>
      <c r="I102" s="144"/>
      <c r="J102" s="144"/>
      <c r="K102" s="144"/>
      <c r="L102" s="144"/>
      <c r="M102" s="144"/>
      <c r="N102" s="144"/>
      <c r="O102" s="144"/>
      <c r="P102" s="144"/>
      <c r="Q102" s="144"/>
      <c r="R102" s="144"/>
      <c r="S102" s="144"/>
      <c r="T102" s="144"/>
      <c r="U102" s="144"/>
      <c r="V102" s="144"/>
      <c r="W102" s="144"/>
      <c r="X102" s="144"/>
      <c r="Y102" s="144"/>
      <c r="Z102" s="144"/>
      <c r="AA102" s="144"/>
      <c r="AB102" s="144"/>
      <c r="AD102" s="144"/>
      <c r="AO102" s="144"/>
    </row>
    <row r="103" spans="1:41" ht="15" customHeight="1" x14ac:dyDescent="0.2">
      <c r="A103" s="113"/>
      <c r="B103" s="113"/>
      <c r="C103" s="346" t="str">
        <f>IF(B30=S132,"",IF(AND(OR($G$67=$R$130,$G$67=$R$132,$G$67=$R$133),OR($G$86=$R$130,$G$86=$R$132,$G$86=$R$133)),"",IF(E103=$R$132,"",IF(OR(E103="",F103=""),"&gt;",""))))</f>
        <v/>
      </c>
      <c r="D103" s="205" t="s">
        <v>270</v>
      </c>
      <c r="E103" s="273" t="s">
        <v>523</v>
      </c>
      <c r="F103" s="274"/>
      <c r="G103" s="206">
        <f>IF(OR(E103="no",B30=S132),0,F103*SUM(G34:G40))</f>
        <v>0</v>
      </c>
      <c r="H103" s="148"/>
      <c r="I103" s="144"/>
      <c r="J103" s="144"/>
      <c r="K103" s="144"/>
      <c r="L103" s="144"/>
      <c r="M103" s="144"/>
      <c r="N103" s="144"/>
      <c r="O103" s="144"/>
      <c r="P103" s="144"/>
      <c r="Q103" s="144"/>
      <c r="R103" s="144"/>
      <c r="S103" s="144"/>
      <c r="T103" s="144"/>
      <c r="U103" s="144"/>
      <c r="V103" s="144"/>
      <c r="W103" s="144"/>
      <c r="X103" s="144"/>
      <c r="Y103" s="144"/>
      <c r="Z103" s="144"/>
      <c r="AA103" s="144"/>
      <c r="AB103" s="144"/>
      <c r="AD103" s="144"/>
      <c r="AO103" s="144"/>
    </row>
    <row r="104" spans="1:41" ht="24.95" customHeight="1" x14ac:dyDescent="0.2">
      <c r="A104" s="113"/>
      <c r="B104" s="113"/>
      <c r="C104" s="113"/>
      <c r="D104" s="113"/>
      <c r="E104" s="113"/>
      <c r="F104" s="113"/>
      <c r="G104" s="538" t="s">
        <v>659</v>
      </c>
      <c r="H104" s="148"/>
      <c r="I104" s="144"/>
      <c r="J104" s="144"/>
      <c r="K104" s="144"/>
      <c r="L104" s="144"/>
      <c r="M104" s="144"/>
      <c r="N104" s="144"/>
      <c r="O104" s="144"/>
      <c r="P104" s="144"/>
      <c r="Q104" s="144"/>
      <c r="R104" s="144"/>
      <c r="S104" s="144"/>
      <c r="T104" s="144"/>
      <c r="U104" s="144"/>
      <c r="V104" s="144"/>
      <c r="W104" s="144"/>
      <c r="X104" s="144"/>
      <c r="Y104" s="144"/>
      <c r="Z104" s="144"/>
      <c r="AA104" s="144"/>
      <c r="AB104" s="144"/>
      <c r="AD104" s="144"/>
      <c r="AO104" s="144"/>
    </row>
    <row r="105" spans="1:41" ht="15" customHeight="1" x14ac:dyDescent="0.2">
      <c r="A105" s="113"/>
      <c r="B105" s="113"/>
      <c r="C105" s="113"/>
      <c r="D105" s="113"/>
      <c r="E105" s="113"/>
      <c r="F105" s="207" t="s">
        <v>5</v>
      </c>
      <c r="G105" s="119">
        <f>IF((SUM(G102:G103))&gt;G99,G99,SUM(G102:G103))</f>
        <v>0</v>
      </c>
      <c r="H105" s="148"/>
      <c r="I105" s="144"/>
      <c r="J105" s="144"/>
      <c r="K105" s="144"/>
      <c r="L105" s="144"/>
      <c r="M105" s="144"/>
      <c r="N105" s="144"/>
      <c r="O105" s="144"/>
      <c r="P105" s="144"/>
      <c r="Q105" s="144"/>
      <c r="R105" s="144"/>
      <c r="S105" s="144"/>
      <c r="T105" s="144"/>
      <c r="U105" s="144"/>
      <c r="V105" s="144"/>
      <c r="W105" s="144"/>
      <c r="X105" s="144"/>
      <c r="Y105" s="144"/>
      <c r="Z105" s="144"/>
      <c r="AA105" s="144"/>
      <c r="AB105" s="144"/>
      <c r="AD105" s="144"/>
      <c r="AO105" s="144"/>
    </row>
    <row r="106" spans="1:41" ht="24.95" customHeight="1" x14ac:dyDescent="0.2">
      <c r="A106" s="113"/>
      <c r="B106" s="113"/>
      <c r="C106" s="117"/>
      <c r="D106" s="142" t="s">
        <v>655</v>
      </c>
      <c r="E106" s="113"/>
      <c r="F106" s="113"/>
      <c r="G106" s="114"/>
      <c r="H106" s="148"/>
      <c r="I106" s="144"/>
      <c r="J106" s="144"/>
      <c r="K106" s="144"/>
      <c r="L106" s="144"/>
      <c r="M106" s="144"/>
      <c r="N106" s="144"/>
      <c r="O106" s="144"/>
      <c r="P106" s="144"/>
      <c r="Q106" s="144"/>
      <c r="R106" s="144"/>
      <c r="S106" s="144"/>
      <c r="T106" s="144"/>
      <c r="U106" s="144"/>
      <c r="V106" s="144"/>
      <c r="W106" s="144"/>
      <c r="X106" s="144"/>
      <c r="Y106" s="144"/>
      <c r="Z106" s="144"/>
      <c r="AA106" s="144"/>
      <c r="AB106" s="144"/>
      <c r="AD106" s="144"/>
      <c r="AO106" s="144"/>
    </row>
    <row r="107" spans="1:41" ht="15" customHeight="1" x14ac:dyDescent="0.2">
      <c r="A107" s="113"/>
      <c r="B107" s="113"/>
      <c r="C107" s="346" t="str">
        <f>IF(AND(OR($G$67=$R$130,$G$67=$R$132,$G$67=$R$133),OR($G$86=$R$130,$G$86=$R$132,$G$86=$R$133)),"",IF(G107=$R$130,"&gt;",""))</f>
        <v/>
      </c>
      <c r="D107" s="257"/>
      <c r="E107" s="166"/>
      <c r="F107" s="134" t="s">
        <v>0</v>
      </c>
      <c r="G107" s="275" t="s">
        <v>522</v>
      </c>
      <c r="H107" s="148"/>
      <c r="I107" s="144"/>
      <c r="J107" s="144"/>
      <c r="K107" s="144"/>
      <c r="L107" s="144"/>
      <c r="M107" s="144"/>
      <c r="N107" s="144"/>
      <c r="O107" s="144"/>
      <c r="P107" s="144"/>
      <c r="Q107" s="144"/>
      <c r="R107" s="144"/>
      <c r="S107" s="144"/>
      <c r="T107" s="144"/>
      <c r="U107" s="144"/>
      <c r="V107" s="144"/>
      <c r="W107" s="144"/>
      <c r="X107" s="144"/>
      <c r="Y107" s="144"/>
      <c r="Z107" s="144"/>
      <c r="AA107" s="144"/>
      <c r="AB107" s="144"/>
      <c r="AD107" s="144"/>
      <c r="AO107" s="144"/>
    </row>
    <row r="108" spans="1:41" ht="24.95" customHeight="1" x14ac:dyDescent="0.2">
      <c r="A108" s="113"/>
      <c r="B108" s="113"/>
      <c r="C108" s="117"/>
      <c r="D108" s="113"/>
      <c r="E108" s="113"/>
      <c r="F108" s="113"/>
      <c r="G108" s="538" t="s">
        <v>616</v>
      </c>
      <c r="H108" s="148"/>
      <c r="I108" s="144"/>
      <c r="J108" s="144"/>
      <c r="K108" s="144"/>
      <c r="L108" s="144"/>
      <c r="M108" s="144"/>
      <c r="N108" s="144"/>
      <c r="O108" s="144"/>
      <c r="P108" s="144"/>
      <c r="Q108" s="144"/>
      <c r="R108" s="144"/>
      <c r="S108" s="144"/>
      <c r="T108" s="144"/>
      <c r="U108" s="144"/>
      <c r="V108" s="144"/>
      <c r="W108" s="144"/>
      <c r="X108" s="144"/>
      <c r="Y108" s="144"/>
      <c r="Z108" s="144"/>
      <c r="AA108" s="144"/>
      <c r="AB108" s="144"/>
      <c r="AD108" s="144"/>
      <c r="AO108" s="144"/>
    </row>
    <row r="109" spans="1:41" ht="15" customHeight="1" x14ac:dyDescent="0.2">
      <c r="A109" s="113"/>
      <c r="B109" s="113"/>
      <c r="C109" s="117"/>
      <c r="D109" s="113"/>
      <c r="E109" s="113"/>
      <c r="F109" s="113"/>
      <c r="G109" s="210" t="str">
        <f>IF(ISERROR(IF(AND(G107="yes",G105&gt;G99),0,(G99-G105)*O140)),R138,IF(AND(G107="yes",G105&gt;G99),0,(G99-G105)*O140))</f>
        <v>Requires building information</v>
      </c>
      <c r="H109" s="148"/>
      <c r="I109" s="144"/>
      <c r="J109" s="144"/>
      <c r="K109" s="144"/>
      <c r="L109" s="144"/>
      <c r="M109" s="144"/>
      <c r="N109" s="144"/>
      <c r="O109" s="144"/>
      <c r="P109" s="144"/>
      <c r="Q109" s="144"/>
      <c r="R109" s="144"/>
      <c r="S109" s="144"/>
      <c r="T109" s="144"/>
      <c r="U109" s="144"/>
      <c r="V109" s="144"/>
      <c r="W109" s="144"/>
      <c r="X109" s="144"/>
      <c r="Y109" s="144"/>
      <c r="Z109" s="144"/>
      <c r="AA109" s="144"/>
      <c r="AB109" s="144"/>
      <c r="AD109" s="144"/>
      <c r="AO109" s="144"/>
    </row>
    <row r="110" spans="1:41" ht="15" customHeight="1" x14ac:dyDescent="0.2">
      <c r="A110" s="113"/>
      <c r="B110" s="113"/>
      <c r="C110" s="346" t="str">
        <f>IF(AND(OR($G$67=$R$130,$G$67=$R$132,$G$67=$R$133),OR($G$86=$R$130,$G$86=$R$132,$G$86=$R$133)),"",IF(AND(G107=$R$131,G110=""),"&gt;",""))</f>
        <v/>
      </c>
      <c r="D110" s="208"/>
      <c r="E110" s="209"/>
      <c r="F110" s="134" t="s">
        <v>2</v>
      </c>
      <c r="G110" s="276">
        <v>1</v>
      </c>
      <c r="H110" s="148"/>
      <c r="I110" s="144"/>
      <c r="J110" s="144"/>
      <c r="K110" s="144"/>
      <c r="L110" s="144"/>
      <c r="M110" s="144"/>
      <c r="N110" s="144"/>
      <c r="O110" s="144"/>
      <c r="P110" s="144"/>
      <c r="Q110" s="144"/>
      <c r="R110" s="144"/>
      <c r="S110" s="144"/>
      <c r="T110" s="144"/>
      <c r="U110" s="144"/>
      <c r="V110" s="144"/>
      <c r="W110" s="144"/>
      <c r="X110" s="144"/>
      <c r="Y110" s="144"/>
      <c r="Z110" s="144"/>
      <c r="AA110" s="144"/>
      <c r="AB110" s="144"/>
      <c r="AD110" s="144"/>
      <c r="AO110" s="144"/>
    </row>
    <row r="111" spans="1:41" ht="24.95" customHeight="1" x14ac:dyDescent="0.2">
      <c r="A111" s="113"/>
      <c r="B111" s="113"/>
      <c r="C111" s="117"/>
      <c r="D111" s="113"/>
      <c r="E111" s="113"/>
      <c r="F111" s="113"/>
      <c r="G111" s="538" t="s">
        <v>921</v>
      </c>
      <c r="H111" s="148"/>
      <c r="I111" s="144"/>
      <c r="J111" s="144"/>
      <c r="K111" s="144"/>
      <c r="L111" s="144"/>
      <c r="M111" s="144"/>
      <c r="N111" s="144"/>
      <c r="O111" s="144"/>
      <c r="P111" s="144"/>
      <c r="Q111" s="144"/>
      <c r="R111" s="144"/>
      <c r="S111" s="144"/>
      <c r="T111" s="144"/>
      <c r="U111" s="144"/>
      <c r="V111" s="144"/>
      <c r="W111" s="144"/>
      <c r="X111" s="144"/>
      <c r="Y111" s="144"/>
      <c r="Z111" s="144"/>
      <c r="AA111" s="144"/>
      <c r="AB111" s="144"/>
      <c r="AD111" s="144"/>
      <c r="AO111" s="144"/>
    </row>
    <row r="112" spans="1:41" ht="15" customHeight="1" x14ac:dyDescent="0.2">
      <c r="A112" s="113"/>
      <c r="B112" s="113"/>
      <c r="C112" s="113"/>
      <c r="D112" s="113"/>
      <c r="E112" s="113"/>
      <c r="F112" s="140" t="s">
        <v>5</v>
      </c>
      <c r="G112" s="206" t="str">
        <f>IF(ISERROR((G110*G109)/O140),R138,(G110*G109)/O140)</f>
        <v>Requires building information</v>
      </c>
      <c r="H112" s="148"/>
      <c r="I112" s="144"/>
      <c r="J112" s="144"/>
      <c r="K112" s="144"/>
      <c r="L112" s="144"/>
      <c r="M112" s="144"/>
      <c r="N112" s="144"/>
      <c r="O112" s="144"/>
      <c r="P112" s="144"/>
      <c r="Q112" s="144"/>
      <c r="R112" s="144"/>
      <c r="S112" s="144"/>
      <c r="T112" s="144"/>
      <c r="U112" s="144"/>
      <c r="V112" s="144"/>
      <c r="W112" s="144"/>
      <c r="X112" s="144"/>
      <c r="Y112" s="144"/>
      <c r="Z112" s="144"/>
      <c r="AA112" s="144"/>
      <c r="AB112" s="144"/>
    </row>
    <row r="113" spans="1:28" ht="15" customHeight="1" x14ac:dyDescent="0.2">
      <c r="A113" s="113"/>
      <c r="B113" s="113"/>
      <c r="C113" s="113"/>
      <c r="D113" s="113"/>
      <c r="E113" s="113"/>
      <c r="F113" s="113"/>
      <c r="G113" s="114"/>
      <c r="H113" s="148"/>
      <c r="I113" s="144"/>
      <c r="J113" s="144"/>
      <c r="K113" s="144"/>
      <c r="L113" s="144"/>
      <c r="M113" s="144"/>
      <c r="N113" s="144"/>
      <c r="O113" s="144"/>
      <c r="P113" s="144"/>
      <c r="Q113" s="144"/>
      <c r="R113" s="144"/>
      <c r="S113" s="144"/>
      <c r="T113" s="144"/>
      <c r="U113" s="144"/>
      <c r="V113" s="144"/>
      <c r="W113" s="144"/>
      <c r="X113" s="144"/>
      <c r="Y113" s="144"/>
      <c r="Z113" s="144"/>
      <c r="AA113" s="144"/>
      <c r="AB113" s="144"/>
    </row>
    <row r="114" spans="1:28" ht="39" customHeight="1" x14ac:dyDescent="0.2">
      <c r="A114" s="113"/>
      <c r="B114" s="113"/>
      <c r="C114" s="113"/>
      <c r="D114" s="113"/>
      <c r="E114" s="113"/>
      <c r="F114" s="113"/>
      <c r="G114" s="538" t="s">
        <v>660</v>
      </c>
      <c r="H114" s="148"/>
      <c r="I114" s="144"/>
      <c r="J114" s="144"/>
      <c r="K114" s="144"/>
      <c r="L114" s="144"/>
      <c r="M114" s="144"/>
      <c r="N114" s="144"/>
      <c r="O114" s="144"/>
      <c r="P114" s="144"/>
      <c r="Q114" s="144"/>
      <c r="R114" s="144"/>
      <c r="S114" s="144"/>
      <c r="T114" s="144"/>
      <c r="U114" s="144"/>
      <c r="V114" s="144"/>
      <c r="W114" s="144"/>
      <c r="X114" s="144"/>
      <c r="Y114" s="144"/>
      <c r="Z114" s="144"/>
      <c r="AA114" s="144"/>
      <c r="AB114" s="144"/>
    </row>
    <row r="115" spans="1:28" ht="15" customHeight="1" x14ac:dyDescent="0.2">
      <c r="A115" s="113"/>
      <c r="B115" s="113"/>
      <c r="C115" s="113"/>
      <c r="D115" s="113"/>
      <c r="E115" s="113"/>
      <c r="F115" s="140" t="s">
        <v>630</v>
      </c>
      <c r="G115" s="119" t="str">
        <f>IF(ISERROR(G105+G112),R138,G105+G112)</f>
        <v>Requires building information</v>
      </c>
      <c r="H115" s="148"/>
      <c r="I115" s="144"/>
      <c r="J115" s="144"/>
      <c r="K115" s="144"/>
      <c r="L115" s="144"/>
      <c r="M115" s="144"/>
      <c r="N115" s="144"/>
      <c r="O115" s="144"/>
      <c r="P115" s="144"/>
      <c r="Q115" s="144"/>
      <c r="R115" s="144"/>
      <c r="S115" s="144"/>
      <c r="T115" s="144"/>
      <c r="U115" s="144"/>
      <c r="V115" s="144"/>
      <c r="W115" s="144"/>
      <c r="X115" s="144"/>
      <c r="Y115" s="144"/>
      <c r="Z115" s="144"/>
      <c r="AA115" s="144"/>
      <c r="AB115" s="144"/>
    </row>
    <row r="116" spans="1:28" ht="24.95" customHeight="1" x14ac:dyDescent="0.2">
      <c r="A116" s="113"/>
      <c r="B116" s="113"/>
      <c r="C116" s="113"/>
      <c r="D116" s="113"/>
      <c r="E116" s="113"/>
      <c r="F116" s="113"/>
      <c r="G116" s="114"/>
      <c r="H116" s="148"/>
      <c r="I116" s="144"/>
      <c r="J116" s="144"/>
      <c r="K116" s="144"/>
      <c r="L116" s="144"/>
      <c r="M116" s="144"/>
      <c r="N116" s="144"/>
      <c r="O116" s="144"/>
      <c r="P116" s="144"/>
      <c r="Q116" s="144"/>
      <c r="R116" s="144"/>
      <c r="S116" s="144"/>
      <c r="T116" s="144"/>
      <c r="U116" s="144"/>
      <c r="V116" s="144"/>
      <c r="W116" s="144"/>
      <c r="X116" s="144"/>
      <c r="Y116" s="144"/>
      <c r="Z116" s="144"/>
      <c r="AA116" s="144"/>
      <c r="AB116" s="144"/>
    </row>
    <row r="117" spans="1:28" ht="32.1" customHeight="1" x14ac:dyDescent="0.2">
      <c r="A117" s="113"/>
      <c r="B117" s="516" t="s">
        <v>4</v>
      </c>
      <c r="C117" s="516"/>
      <c r="D117" s="516"/>
      <c r="E117" s="516"/>
      <c r="F117" s="516"/>
      <c r="G117" s="516"/>
      <c r="H117" s="148"/>
      <c r="I117" s="144"/>
      <c r="J117" s="144"/>
      <c r="K117" s="144"/>
      <c r="L117" s="144"/>
      <c r="M117" s="144"/>
      <c r="N117" s="144"/>
      <c r="O117" s="144"/>
      <c r="P117" s="144"/>
      <c r="Q117" s="144"/>
      <c r="R117" s="144"/>
      <c r="S117" s="144"/>
      <c r="T117" s="144"/>
      <c r="U117" s="144"/>
      <c r="V117" s="144"/>
      <c r="W117" s="144"/>
      <c r="X117" s="144"/>
      <c r="Y117" s="144"/>
      <c r="Z117" s="144"/>
      <c r="AA117" s="144"/>
      <c r="AB117" s="144"/>
    </row>
    <row r="118" spans="1:28" ht="24.95" customHeight="1" x14ac:dyDescent="0.2">
      <c r="A118" s="113"/>
      <c r="B118" s="113"/>
      <c r="C118" s="168"/>
      <c r="D118" s="113"/>
      <c r="E118" s="113"/>
      <c r="F118" s="113"/>
      <c r="G118" s="114"/>
      <c r="H118" s="148"/>
      <c r="I118" s="144"/>
      <c r="J118" s="144"/>
      <c r="K118" s="144"/>
      <c r="L118" s="144"/>
      <c r="M118" s="144"/>
      <c r="N118" s="144"/>
      <c r="O118" s="144"/>
      <c r="P118" s="144"/>
      <c r="Q118" s="144"/>
      <c r="R118" s="144"/>
      <c r="S118" s="144"/>
      <c r="T118" s="144"/>
      <c r="U118" s="144"/>
      <c r="V118" s="144"/>
      <c r="W118" s="144"/>
      <c r="X118" s="144"/>
      <c r="Y118" s="144"/>
      <c r="Z118" s="144"/>
      <c r="AA118" s="144"/>
      <c r="AB118" s="144"/>
    </row>
    <row r="119" spans="1:28" ht="24.95" customHeight="1" x14ac:dyDescent="0.2">
      <c r="A119" s="113"/>
      <c r="B119" s="113"/>
      <c r="C119" s="168"/>
      <c r="E119" s="113"/>
      <c r="F119" s="538" t="s">
        <v>386</v>
      </c>
      <c r="G119" s="538" t="s">
        <v>958</v>
      </c>
      <c r="H119" s="148" t="str">
        <f>IF(G14=R132,O156,"")</f>
        <v/>
      </c>
      <c r="I119" s="144"/>
      <c r="J119" s="144"/>
      <c r="K119" s="144"/>
      <c r="L119" s="144"/>
      <c r="M119" s="144"/>
      <c r="N119" s="144"/>
      <c r="O119" s="144"/>
      <c r="P119" s="144"/>
      <c r="Q119" s="144"/>
      <c r="R119" s="144"/>
      <c r="S119" s="144"/>
      <c r="T119" s="144"/>
      <c r="U119" s="144"/>
      <c r="V119" s="144"/>
      <c r="W119" s="144"/>
      <c r="X119" s="144"/>
      <c r="Y119" s="144"/>
      <c r="Z119" s="144"/>
      <c r="AA119" s="144"/>
      <c r="AB119" s="144"/>
    </row>
    <row r="120" spans="1:28" ht="15" customHeight="1" x14ac:dyDescent="0.2">
      <c r="A120" s="113"/>
      <c r="B120" s="541"/>
      <c r="C120" s="542"/>
      <c r="D120" s="542"/>
      <c r="E120" s="543" t="s">
        <v>955</v>
      </c>
      <c r="F120" s="211" t="str">
        <f>IF(ISERROR(S63),R138,S63)</f>
        <v>Requires building information</v>
      </c>
      <c r="G120" s="211" t="str">
        <f>IF(ISERROR((F120/1000)*$F$13),R138,(F120/1000)*$F$13)</f>
        <v>Requires building information</v>
      </c>
      <c r="H120" s="148"/>
      <c r="I120" s="144"/>
      <c r="J120" s="144"/>
      <c r="K120" s="144"/>
      <c r="L120" s="144"/>
      <c r="M120" s="144"/>
      <c r="N120" s="144"/>
      <c r="O120" s="144"/>
      <c r="P120" s="144"/>
      <c r="Q120" s="144"/>
      <c r="R120" s="144"/>
      <c r="S120" s="144"/>
      <c r="T120" s="144"/>
      <c r="U120" s="144"/>
      <c r="V120" s="144"/>
      <c r="W120" s="144"/>
      <c r="X120" s="144"/>
      <c r="Y120" s="144"/>
      <c r="Z120" s="144"/>
      <c r="AA120" s="144"/>
      <c r="AB120" s="144"/>
    </row>
    <row r="121" spans="1:28" x14ac:dyDescent="0.2">
      <c r="A121" s="113"/>
      <c r="B121" s="117"/>
      <c r="C121" s="117"/>
      <c r="D121" s="113"/>
      <c r="E121" s="168"/>
      <c r="F121" s="170"/>
      <c r="G121" s="114"/>
      <c r="H121" s="148"/>
      <c r="I121" s="144"/>
      <c r="J121" s="144"/>
      <c r="K121" s="144"/>
      <c r="L121" s="144"/>
      <c r="M121" s="144"/>
      <c r="N121" s="144"/>
      <c r="O121" s="144"/>
      <c r="P121" s="144"/>
      <c r="Q121" s="144"/>
      <c r="R121" s="571" t="s">
        <v>962</v>
      </c>
      <c r="S121" s="144"/>
      <c r="T121" s="144"/>
      <c r="U121" s="144"/>
      <c r="V121" s="144"/>
      <c r="W121" s="144"/>
      <c r="X121" s="144"/>
      <c r="Y121" s="144"/>
      <c r="Z121" s="144"/>
      <c r="AA121" s="144"/>
      <c r="AB121" s="144"/>
    </row>
    <row r="122" spans="1:28" ht="15" customHeight="1" x14ac:dyDescent="0.2">
      <c r="A122" s="113"/>
      <c r="B122" s="544"/>
      <c r="C122" s="545"/>
      <c r="D122" s="542"/>
      <c r="E122" s="543" t="s">
        <v>956</v>
      </c>
      <c r="F122" s="211" t="str">
        <f>IF(ISERROR(G63-S66),R138,G63-S66)</f>
        <v>Requires building information</v>
      </c>
      <c r="G122" s="211" t="str">
        <f>IF(ISERROR((F122/1000)*$F$13),R138,(F122/1000)*$F$13)</f>
        <v>Requires building information</v>
      </c>
      <c r="H122" s="148"/>
      <c r="I122" s="144"/>
      <c r="J122" s="144"/>
      <c r="K122" s="144"/>
      <c r="L122" s="144"/>
      <c r="M122" s="144"/>
      <c r="N122" s="144"/>
      <c r="O122" s="174" t="s">
        <v>648</v>
      </c>
      <c r="P122" s="172"/>
      <c r="Q122" s="144"/>
      <c r="R122" s="572" t="s">
        <v>654</v>
      </c>
      <c r="S122" s="144"/>
      <c r="T122" s="144"/>
      <c r="U122" s="144"/>
      <c r="V122" s="144"/>
      <c r="W122" s="144"/>
      <c r="X122" s="144"/>
      <c r="Y122" s="144"/>
      <c r="Z122" s="144"/>
      <c r="AA122" s="144"/>
      <c r="AB122" s="144"/>
    </row>
    <row r="123" spans="1:28" x14ac:dyDescent="0.2">
      <c r="A123" s="113"/>
      <c r="B123" s="117"/>
      <c r="C123" s="117"/>
      <c r="D123" s="113"/>
      <c r="E123" s="168"/>
      <c r="F123" s="170"/>
      <c r="G123" s="170"/>
      <c r="H123" s="148"/>
      <c r="I123" s="144"/>
      <c r="J123" s="144"/>
      <c r="K123" s="144"/>
      <c r="L123" s="144"/>
      <c r="M123" s="144"/>
      <c r="N123" s="144"/>
      <c r="O123" s="175" t="e">
        <f>1-(F122-F124)/F120</f>
        <v>#VALUE!</v>
      </c>
      <c r="P123" s="172" t="s">
        <v>646</v>
      </c>
      <c r="Q123" s="144"/>
      <c r="R123" s="572" t="s">
        <v>963</v>
      </c>
      <c r="S123" s="144"/>
      <c r="T123" s="144"/>
      <c r="U123" s="144"/>
      <c r="V123" s="144"/>
      <c r="W123" s="144"/>
      <c r="X123" s="144"/>
      <c r="Y123" s="144"/>
      <c r="Z123" s="144"/>
      <c r="AA123" s="144"/>
      <c r="AB123" s="144"/>
    </row>
    <row r="124" spans="1:28" ht="15" customHeight="1" x14ac:dyDescent="0.2">
      <c r="A124" s="113"/>
      <c r="B124" s="544"/>
      <c r="C124" s="545"/>
      <c r="D124" s="542"/>
      <c r="E124" s="543" t="s">
        <v>661</v>
      </c>
      <c r="F124" s="211" t="str">
        <f>IF(ISERROR(G115),R138,G115)</f>
        <v>Requires building information</v>
      </c>
      <c r="G124" s="211" t="str">
        <f>IF(ISERROR((F124/1000)*$F$13),R138,(F124/1000)*$F$13)</f>
        <v>Requires building information</v>
      </c>
      <c r="H124" s="163"/>
      <c r="I124" s="171"/>
      <c r="J124" s="171"/>
      <c r="K124" s="171"/>
      <c r="L124" s="171"/>
      <c r="M124" s="144"/>
      <c r="N124" s="144"/>
      <c r="O124" s="176"/>
      <c r="P124" s="172"/>
      <c r="Q124" s="144"/>
      <c r="R124" s="572" t="s">
        <v>964</v>
      </c>
      <c r="S124" s="144"/>
      <c r="T124" s="144"/>
      <c r="U124" s="144"/>
      <c r="V124" s="144"/>
      <c r="W124" s="144"/>
      <c r="X124" s="144"/>
      <c r="Y124" s="144"/>
      <c r="Z124" s="144"/>
      <c r="AA124" s="144"/>
      <c r="AB124" s="144"/>
    </row>
    <row r="125" spans="1:28" x14ac:dyDescent="0.2">
      <c r="A125" s="113"/>
      <c r="B125" s="117"/>
      <c r="C125" s="117"/>
      <c r="D125" s="113"/>
      <c r="E125" s="168"/>
      <c r="F125" s="170"/>
      <c r="G125" s="170"/>
      <c r="H125" s="163"/>
      <c r="I125" s="144"/>
      <c r="J125" s="144"/>
      <c r="K125" s="144"/>
      <c r="L125" s="144"/>
      <c r="M125" s="144"/>
      <c r="N125" s="144"/>
      <c r="O125" s="175" t="e">
        <f>VLOOKUP(O123,CreditsRet,2,TRUE)</f>
        <v>#VALUE!</v>
      </c>
      <c r="P125" s="172" t="s">
        <v>647</v>
      </c>
      <c r="Q125" s="144"/>
      <c r="R125" s="572" t="s">
        <v>965</v>
      </c>
      <c r="S125" s="144"/>
      <c r="T125" s="144"/>
      <c r="U125" s="144"/>
      <c r="V125" s="144"/>
      <c r="W125" s="144"/>
      <c r="X125" s="144"/>
      <c r="Y125" s="144"/>
      <c r="Z125" s="144"/>
      <c r="AA125" s="144"/>
      <c r="AB125" s="144"/>
    </row>
    <row r="126" spans="1:28" ht="15" customHeight="1" x14ac:dyDescent="0.2">
      <c r="A126" s="113"/>
      <c r="B126" s="541"/>
      <c r="C126" s="542"/>
      <c r="D126" s="542"/>
      <c r="E126" s="543" t="s">
        <v>649</v>
      </c>
      <c r="F126" s="211" t="str">
        <f>IF(ISERROR(IF(AND((OR(G86=R133,G86=R132)),((OR(G67=R133,G67=R132)))),R133,IF(OR(O125="1 credit",O125="2 credits",O125="3 credits"),R136,IF(OR(O125="4 credits",O125="5 credits"),(IF((1-(F122/F120))&lt;0.25,"No","Yes")))))),R138,IF(AND((OR(G86=R133,G86=R132)),((OR(G67=R133,G67=R132)))),R133,IF(OR(O125="1 credit",O125="2 credits",O125="3 credits"),R136,IF(OR(O125="4 credits",O125="5 credits"),(IF((1-(F122/F120))&lt;0.25,"No","Yes"))))))</f>
        <v>Requires building information</v>
      </c>
      <c r="G126" s="170"/>
      <c r="H126" s="163"/>
      <c r="I126" s="173"/>
      <c r="J126" s="173"/>
      <c r="K126" s="173"/>
      <c r="L126" s="173"/>
      <c r="M126" s="117"/>
      <c r="N126" s="117"/>
      <c r="O126" s="172"/>
      <c r="P126" s="144"/>
      <c r="Q126" s="144"/>
      <c r="R126" s="144"/>
      <c r="S126" s="144"/>
      <c r="T126" s="144"/>
      <c r="U126" s="144"/>
      <c r="V126" s="144"/>
      <c r="W126" s="144"/>
      <c r="X126" s="144"/>
      <c r="Y126" s="144"/>
      <c r="Z126" s="144"/>
      <c r="AA126" s="144"/>
      <c r="AB126" s="144"/>
    </row>
    <row r="127" spans="1:28" ht="24.95" customHeight="1" x14ac:dyDescent="0.2">
      <c r="A127" s="113"/>
      <c r="B127" s="117"/>
      <c r="C127" s="117"/>
      <c r="D127" s="113"/>
      <c r="E127" s="168"/>
      <c r="F127" s="170"/>
      <c r="G127" s="170"/>
      <c r="H127" s="163"/>
      <c r="I127" s="144"/>
      <c r="J127" s="144"/>
      <c r="K127" s="144"/>
      <c r="L127" s="144"/>
      <c r="M127" s="117"/>
      <c r="N127" s="117"/>
      <c r="O127" s="159"/>
      <c r="P127" s="144"/>
      <c r="Q127" s="144"/>
      <c r="R127" s="144"/>
      <c r="S127" s="144"/>
      <c r="T127" s="144"/>
      <c r="U127" s="144"/>
      <c r="V127" s="144"/>
      <c r="W127" s="144"/>
      <c r="X127" s="144"/>
      <c r="Y127" s="144"/>
      <c r="Z127" s="144"/>
      <c r="AA127" s="144"/>
      <c r="AB127" s="144"/>
    </row>
    <row r="128" spans="1:28" ht="15" customHeight="1" x14ac:dyDescent="0.2">
      <c r="A128" s="113"/>
      <c r="B128" s="544"/>
      <c r="C128" s="545"/>
      <c r="D128" s="542"/>
      <c r="E128" s="543" t="s">
        <v>957</v>
      </c>
      <c r="F128" s="211" t="str">
        <f>IF(ISERROR(IF(OR(F126="Yes",F126=R133),F122-F124,(F122-((1-(F122/F120))*F124)))),R138,IF(OR(F126="Yes",F126=R133),F122-F124,(F122-((1-(F122/F120))*F124))))</f>
        <v>Requires building information</v>
      </c>
      <c r="G128" s="211" t="str">
        <f>IF(ISERROR((F128/1000)*$F$13),R138,((F128/1000)*$F$13))</f>
        <v>Requires building information</v>
      </c>
      <c r="H128" s="163"/>
      <c r="I128" s="156"/>
      <c r="J128" s="156"/>
      <c r="K128" s="156"/>
      <c r="L128" s="156"/>
      <c r="M128" s="117"/>
      <c r="N128" s="117"/>
      <c r="O128" s="172"/>
      <c r="P128" s="144"/>
      <c r="Q128" s="144"/>
      <c r="R128" s="144"/>
      <c r="S128" s="144"/>
      <c r="T128" s="144"/>
      <c r="U128" s="144"/>
      <c r="V128" s="144"/>
      <c r="W128" s="144"/>
      <c r="X128" s="144"/>
      <c r="Y128" s="144"/>
      <c r="Z128" s="144"/>
      <c r="AA128" s="144"/>
      <c r="AB128" s="144"/>
    </row>
    <row r="129" spans="1:41" x14ac:dyDescent="0.2">
      <c r="A129" s="113"/>
      <c r="B129" s="117"/>
      <c r="C129" s="117"/>
      <c r="D129" s="113"/>
      <c r="E129" s="168"/>
      <c r="F129" s="170"/>
      <c r="G129" s="170"/>
      <c r="H129" s="163"/>
      <c r="I129" s="144"/>
      <c r="J129" s="144"/>
      <c r="K129" s="144"/>
      <c r="L129" s="144"/>
      <c r="M129" s="117"/>
      <c r="N129" s="117"/>
      <c r="O129" s="172"/>
      <c r="P129" s="144"/>
      <c r="Q129" s="144"/>
      <c r="R129" s="144"/>
      <c r="S129" s="144"/>
      <c r="T129" s="144"/>
      <c r="U129" s="144"/>
      <c r="V129" s="144"/>
      <c r="W129" s="144"/>
      <c r="X129" s="144"/>
      <c r="Y129" s="144"/>
      <c r="Z129" s="144"/>
      <c r="AA129" s="144"/>
      <c r="AB129" s="144"/>
    </row>
    <row r="130" spans="1:41" ht="15" customHeight="1" x14ac:dyDescent="0.2">
      <c r="A130" s="113"/>
      <c r="B130" s="544"/>
      <c r="C130" s="545"/>
      <c r="D130" s="542"/>
      <c r="E130" s="543" t="s">
        <v>156</v>
      </c>
      <c r="F130" s="212" t="str">
        <f>IF(OR(F120=R138,F122=R138,F124=R138,F126=R138),R138,IF(OR(F126="yes",F126=R136,F126=R133),O123,(IF(F126="No",1-((F122-(F124*(1-(F122/F120))))/F120)))))</f>
        <v>Requires building information</v>
      </c>
      <c r="G130" s="114"/>
      <c r="H130" s="163"/>
      <c r="I130" s="148"/>
      <c r="J130" s="148"/>
      <c r="K130" s="148"/>
      <c r="L130" s="148"/>
      <c r="M130" s="117"/>
      <c r="O130" s="144"/>
      <c r="P130" s="144"/>
      <c r="Q130" s="144" t="s">
        <v>654</v>
      </c>
      <c r="R130" s="144" t="s">
        <v>654</v>
      </c>
      <c r="S130" s="144" t="s">
        <v>654</v>
      </c>
      <c r="T130" s="144" t="s">
        <v>654</v>
      </c>
      <c r="U130" s="179">
        <v>0</v>
      </c>
      <c r="V130" s="144"/>
      <c r="W130" s="144"/>
      <c r="X130" s="144"/>
      <c r="Y130" s="144"/>
      <c r="Z130" s="144"/>
      <c r="AA130" s="144"/>
      <c r="AB130" s="144"/>
    </row>
    <row r="131" spans="1:41" x14ac:dyDescent="0.2">
      <c r="A131" s="113"/>
      <c r="B131" s="117"/>
      <c r="C131" s="117"/>
      <c r="D131" s="113"/>
      <c r="E131" s="140"/>
      <c r="F131" s="177"/>
      <c r="G131" s="114"/>
      <c r="H131" s="163"/>
      <c r="I131" s="144"/>
      <c r="J131" s="144"/>
      <c r="K131" s="144"/>
      <c r="L131" s="144"/>
      <c r="M131" s="382"/>
      <c r="N131" s="178"/>
      <c r="O131" s="165" t="s">
        <v>834</v>
      </c>
      <c r="P131" s="165" t="s">
        <v>835</v>
      </c>
      <c r="Q131" s="144" t="s">
        <v>515</v>
      </c>
      <c r="R131" s="144" t="s">
        <v>522</v>
      </c>
      <c r="S131" s="181" t="str">
        <f>'Activity database'!I3</f>
        <v>WC - male (urinals installed)</v>
      </c>
      <c r="T131" s="182" t="s">
        <v>402</v>
      </c>
      <c r="U131" s="179">
        <v>0.01</v>
      </c>
      <c r="V131" s="144"/>
      <c r="W131" s="144"/>
      <c r="X131" s="144"/>
      <c r="Y131" s="144"/>
      <c r="Z131" s="144"/>
      <c r="AA131" s="144"/>
      <c r="AB131" s="144"/>
    </row>
    <row r="132" spans="1:41" ht="15" customHeight="1" x14ac:dyDescent="0.2">
      <c r="A132" s="113"/>
      <c r="B132" s="544"/>
      <c r="C132" s="545"/>
      <c r="D132" s="542"/>
      <c r="E132" s="543" t="s">
        <v>721</v>
      </c>
      <c r="F132" s="213" t="str">
        <f>IF(ISERROR(VLOOKUP(F130,CreditsRet,2,TRUE)),R138,VLOOKUP(F130,CreditsRet,2,TRUE))</f>
        <v>Requires building information</v>
      </c>
      <c r="G132" s="114"/>
      <c r="H132" s="163"/>
      <c r="I132" s="159"/>
      <c r="J132" s="159"/>
      <c r="K132" s="159"/>
      <c r="L132" s="159"/>
      <c r="M132" s="117"/>
      <c r="N132" s="160" t="str">
        <f t="shared" ref="N132:N138" si="5">B19</f>
        <v>Retail - sales areas for display of bulky items</v>
      </c>
      <c r="O132" s="162">
        <f>IF(G14=R132,0,IF(F19="Yes",VLOOKUP(B19,'Activity database'!A:BO,3,FALSE)*G19*2*0.4*VLOOKUP($B$13,'Activity database'!$A:$AR,5,FALSE),0))</f>
        <v>0</v>
      </c>
      <c r="P132" s="162">
        <f>IF(F19="Yes",0.013*G19,0)</f>
        <v>0</v>
      </c>
      <c r="Q132" s="144" t="s">
        <v>516</v>
      </c>
      <c r="R132" s="144" t="s">
        <v>523</v>
      </c>
      <c r="S132" s="181" t="str">
        <f>'Activity database'!J3</f>
        <v>WC - male (no urinals installed)</v>
      </c>
      <c r="T132" s="182" t="s">
        <v>530</v>
      </c>
      <c r="U132" s="179">
        <v>0.02</v>
      </c>
      <c r="V132" s="144"/>
      <c r="W132" s="144"/>
      <c r="X132" s="144"/>
      <c r="Y132" s="144"/>
      <c r="Z132" s="144"/>
      <c r="AA132" s="144"/>
      <c r="AB132" s="144"/>
    </row>
    <row r="133" spans="1:41" ht="15" customHeight="1" x14ac:dyDescent="0.2">
      <c r="A133" s="113"/>
      <c r="B133" s="117"/>
      <c r="C133" s="117"/>
      <c r="D133" s="113"/>
      <c r="E133" s="140"/>
      <c r="F133" s="118"/>
      <c r="G133" s="114"/>
      <c r="H133" s="163"/>
      <c r="I133" s="144"/>
      <c r="J133" s="144"/>
      <c r="K133" s="144"/>
      <c r="L133" s="144"/>
      <c r="M133" s="117"/>
      <c r="N133" s="160" t="str">
        <f t="shared" si="5"/>
        <v>Retail - sales areas for display of non bulky items and/or customer service area.</v>
      </c>
      <c r="O133" s="162">
        <f>IF(G14=R132,0,IF(F20="Yes",VLOOKUP(B20,'Activity database'!A:BO,3,FALSE)*G20*2*0.4*VLOOKUP($B$13,'Activity database'!$A:$AR,5,FALSE),0))</f>
        <v>0</v>
      </c>
      <c r="P133" s="162">
        <f>IF(F20="Yes",0.059*G20,0)</f>
        <v>0</v>
      </c>
      <c r="Q133" s="144"/>
      <c r="R133" s="144" t="s">
        <v>650</v>
      </c>
      <c r="S133" s="144"/>
      <c r="T133" s="144"/>
      <c r="U133" s="179">
        <v>0.03</v>
      </c>
      <c r="V133" s="144"/>
      <c r="W133" s="144"/>
      <c r="X133" s="144"/>
      <c r="Y133" s="144"/>
      <c r="Z133" s="144"/>
      <c r="AA133" s="144"/>
      <c r="AB133" s="144"/>
    </row>
    <row r="134" spans="1:41" ht="15" customHeight="1" x14ac:dyDescent="0.2">
      <c r="A134" s="113"/>
      <c r="B134" s="544"/>
      <c r="C134" s="545"/>
      <c r="D134" s="542"/>
      <c r="E134" s="543" t="s">
        <v>722</v>
      </c>
      <c r="F134" s="213" t="str">
        <f>IF(F130=R138,R138,IF(F130&gt;=ExempRet,"1 innovation credit achieved","Exemplary level not achieved"))</f>
        <v>Requires building information</v>
      </c>
      <c r="G134" s="114"/>
      <c r="H134" s="180"/>
      <c r="I134" s="159"/>
      <c r="J134" s="159"/>
      <c r="K134" s="159"/>
      <c r="L134" s="159"/>
      <c r="M134" s="117"/>
      <c r="N134" s="160" t="str">
        <f t="shared" si="5"/>
        <v>Retail - concourse/shopping mall</v>
      </c>
      <c r="O134" s="162">
        <f>IF(G14=R132,0,IF(F21="Yes",VLOOKUP(B21,'Activity database'!A:BO,3,FALSE)*G21,0))</f>
        <v>0</v>
      </c>
      <c r="P134" s="150" t="s">
        <v>521</v>
      </c>
      <c r="Q134" s="144"/>
      <c r="R134" s="144"/>
      <c r="S134" s="149" t="s">
        <v>654</v>
      </c>
      <c r="T134" s="144"/>
      <c r="U134" s="179">
        <v>0.04</v>
      </c>
      <c r="V134" s="144"/>
      <c r="W134" s="144"/>
      <c r="X134" s="144"/>
      <c r="Y134" s="144"/>
      <c r="Z134" s="144"/>
      <c r="AA134" s="144"/>
      <c r="AB134" s="144"/>
    </row>
    <row r="135" spans="1:41" ht="15" customHeight="1" x14ac:dyDescent="0.2">
      <c r="A135" s="113"/>
      <c r="B135" s="113"/>
      <c r="C135" s="113"/>
      <c r="D135" s="113"/>
      <c r="E135" s="113"/>
      <c r="F135" s="113"/>
      <c r="G135" s="114"/>
      <c r="H135" s="163"/>
      <c r="I135" s="144"/>
      <c r="J135" s="144"/>
      <c r="K135" s="144"/>
      <c r="L135" s="144"/>
      <c r="M135" s="117"/>
      <c r="N135" s="160" t="str">
        <f t="shared" si="5"/>
        <v>Retail - Staff office area and staffroom</v>
      </c>
      <c r="O135" s="150" t="s">
        <v>521</v>
      </c>
      <c r="P135" s="162">
        <f>IF(F22="Yes",VLOOKUP(B22,'Activity database'!A:BO,3,FALSE)*G22,0)</f>
        <v>0</v>
      </c>
      <c r="Q135" s="144"/>
      <c r="R135" s="144"/>
      <c r="S135" s="189" t="str">
        <f>'Activity database'!A31</f>
        <v>Retail - Shop / retail unit(s) / retail warehouse</v>
      </c>
      <c r="T135" s="144"/>
      <c r="U135" s="179">
        <v>0.05</v>
      </c>
      <c r="V135" s="144"/>
      <c r="W135" s="144"/>
      <c r="X135" s="144"/>
      <c r="Y135" s="144"/>
      <c r="Z135" s="144"/>
      <c r="AA135" s="144"/>
      <c r="AB135" s="144"/>
    </row>
    <row r="136" spans="1:41" ht="15" customHeight="1" x14ac:dyDescent="0.2">
      <c r="A136" s="113"/>
      <c r="B136" s="544"/>
      <c r="C136" s="545"/>
      <c r="D136" s="542"/>
      <c r="E136" s="543" t="s">
        <v>954</v>
      </c>
      <c r="F136" s="211" t="str">
        <f>IF(ISERROR(F122+S66-F124),R138,F122+S66-F124)</f>
        <v>Requires building information</v>
      </c>
      <c r="G136" s="211" t="str">
        <f>IF(ISERROR((F136/1000)*$F$13),R138,(F136/1000)*$F$13)</f>
        <v>Requires building information</v>
      </c>
      <c r="H136" s="163"/>
      <c r="I136" s="144"/>
      <c r="J136" s="144"/>
      <c r="K136" s="144"/>
      <c r="L136" s="144"/>
      <c r="M136" s="156"/>
      <c r="N136" s="146" t="str">
        <f>B23</f>
        <v>Retail - Staff canteen dining area</v>
      </c>
      <c r="O136" s="165" t="s">
        <v>521</v>
      </c>
      <c r="P136" s="558">
        <f>IF(F23="Yes",VLOOKUP(B23,'Activity database'!A:BO,3,FALSE)*G23,0)</f>
        <v>0</v>
      </c>
      <c r="Q136" s="144"/>
      <c r="R136" s="181" t="s">
        <v>651</v>
      </c>
      <c r="S136" s="182" t="str">
        <f>'Activity database'!A34</f>
        <v>Retail - Supermarket</v>
      </c>
      <c r="T136" s="179"/>
      <c r="U136" s="179">
        <v>0.06</v>
      </c>
      <c r="V136" s="144"/>
      <c r="W136" s="144"/>
      <c r="X136" s="144"/>
      <c r="Y136" s="144"/>
      <c r="Z136" s="144"/>
      <c r="AA136" s="144"/>
      <c r="AB136" s="144"/>
      <c r="AC136" s="146"/>
      <c r="AD136" s="144"/>
      <c r="AN136" s="147"/>
      <c r="AO136" s="144"/>
    </row>
    <row r="137" spans="1:41" x14ac:dyDescent="0.2">
      <c r="A137" s="113"/>
      <c r="B137" s="113"/>
      <c r="C137" s="113"/>
      <c r="D137" s="183"/>
      <c r="E137" s="184"/>
      <c r="F137" s="113"/>
      <c r="G137" s="114"/>
      <c r="H137" s="163"/>
      <c r="I137" s="144"/>
      <c r="J137" s="144"/>
      <c r="K137" s="144"/>
      <c r="L137" s="144"/>
      <c r="M137" s="117"/>
      <c r="N137" s="160" t="str">
        <f t="shared" si="5"/>
        <v>Retail - Goods-in and storage area</v>
      </c>
      <c r="O137" s="150" t="s">
        <v>521</v>
      </c>
      <c r="P137" s="162">
        <f>IF(F24="Yes",VLOOKUP(B24,'Activity database'!A:BO,3,FALSE)*G24,0)</f>
        <v>0</v>
      </c>
      <c r="Q137" s="144"/>
      <c r="R137" s="144"/>
      <c r="S137" s="189" t="str">
        <f>'Activity database'!A37</f>
        <v>Retail - Service provider</v>
      </c>
      <c r="T137" s="144"/>
      <c r="U137" s="179">
        <v>7.0000000000000007E-2</v>
      </c>
      <c r="V137" s="144"/>
      <c r="W137" s="144"/>
      <c r="X137" s="144"/>
      <c r="Y137" s="144"/>
      <c r="Z137" s="144"/>
      <c r="AA137" s="144"/>
      <c r="AB137" s="144"/>
    </row>
    <row r="138" spans="1:41" x14ac:dyDescent="0.2">
      <c r="A138" s="113"/>
      <c r="B138" s="117"/>
      <c r="C138" s="117"/>
      <c r="D138" s="185"/>
      <c r="E138" s="186"/>
      <c r="F138" s="117"/>
      <c r="G138" s="187"/>
      <c r="H138" s="146"/>
      <c r="I138" s="144"/>
      <c r="J138" s="144"/>
      <c r="K138" s="144"/>
      <c r="L138" s="144"/>
      <c r="M138" s="117"/>
      <c r="N138" s="160" t="str">
        <f t="shared" si="5"/>
        <v>Retail - Workshop</v>
      </c>
      <c r="O138" s="150" t="s">
        <v>521</v>
      </c>
      <c r="P138" s="162">
        <f>IF(F25="Yes",VLOOKUP(B25,'Activity database'!A:BO,3,FALSE)*G25,0)</f>
        <v>0</v>
      </c>
      <c r="Q138" s="190"/>
      <c r="R138" s="144" t="s">
        <v>844</v>
      </c>
      <c r="S138" s="189" t="str">
        <f>'Activity database'!A40</f>
        <v>Retail - Shopping centre/complex</v>
      </c>
      <c r="T138" s="144"/>
      <c r="U138" s="179">
        <v>0.08</v>
      </c>
      <c r="V138" s="144"/>
      <c r="W138" s="144"/>
      <c r="X138" s="144"/>
      <c r="Y138" s="144"/>
      <c r="Z138" s="144"/>
      <c r="AA138" s="144"/>
      <c r="AB138" s="144"/>
    </row>
    <row r="139" spans="1:41" x14ac:dyDescent="0.2">
      <c r="A139" s="113"/>
      <c r="B139" s="117"/>
      <c r="C139" s="117"/>
      <c r="D139" s="185"/>
      <c r="E139" s="186"/>
      <c r="F139" s="117"/>
      <c r="G139" s="187"/>
      <c r="H139" s="146"/>
      <c r="I139" s="144"/>
      <c r="J139" s="144"/>
      <c r="K139" s="144"/>
      <c r="L139" s="144"/>
      <c r="M139" s="117"/>
      <c r="N139" s="146" t="s">
        <v>5</v>
      </c>
      <c r="O139" s="158">
        <f>IF(G14=R132,0,SUM(O132:O138))</f>
        <v>0</v>
      </c>
      <c r="P139" s="158">
        <f>SUM(P132:P138)</f>
        <v>0</v>
      </c>
      <c r="Q139" s="190"/>
      <c r="R139" s="144"/>
      <c r="S139" s="189"/>
      <c r="T139" s="144"/>
      <c r="U139" s="179">
        <v>0.09</v>
      </c>
      <c r="V139" s="144"/>
      <c r="W139" s="144"/>
      <c r="X139" s="144"/>
      <c r="Y139" s="144"/>
      <c r="Z139" s="171"/>
      <c r="AA139" s="144"/>
      <c r="AB139" s="144"/>
    </row>
    <row r="140" spans="1:41" x14ac:dyDescent="0.2">
      <c r="A140" s="113"/>
      <c r="B140" s="117"/>
      <c r="C140" s="117"/>
      <c r="D140" s="185"/>
      <c r="E140" s="186"/>
      <c r="F140" s="117"/>
      <c r="G140" s="187"/>
      <c r="I140" s="144"/>
      <c r="J140" s="144"/>
      <c r="K140" s="144"/>
      <c r="L140" s="144"/>
      <c r="M140" s="117"/>
      <c r="N140" s="160" t="s">
        <v>617</v>
      </c>
      <c r="O140" s="321">
        <f>SUM(O139:P139)</f>
        <v>0</v>
      </c>
      <c r="P140" s="162"/>
      <c r="Q140" s="144"/>
      <c r="R140" s="144"/>
      <c r="S140" s="144"/>
      <c r="T140" s="144"/>
      <c r="U140" s="179">
        <v>0.1</v>
      </c>
      <c r="V140" s="144"/>
      <c r="W140" s="144"/>
      <c r="X140" s="144"/>
      <c r="Y140" s="144"/>
      <c r="Z140" s="144"/>
      <c r="AA140" s="144"/>
      <c r="AB140" s="144"/>
    </row>
    <row r="141" spans="1:41" x14ac:dyDescent="0.2">
      <c r="A141" s="113"/>
      <c r="B141" s="117"/>
      <c r="C141" s="117"/>
      <c r="D141" s="185"/>
      <c r="E141" s="186"/>
      <c r="F141" s="117"/>
      <c r="G141" s="187"/>
      <c r="I141" s="144"/>
      <c r="J141" s="144"/>
      <c r="K141" s="144"/>
      <c r="L141" s="144"/>
      <c r="M141" s="117"/>
      <c r="N141" s="144"/>
      <c r="O141" s="160"/>
      <c r="P141" s="162"/>
      <c r="Q141" s="144"/>
      <c r="R141" s="144"/>
      <c r="S141" s="148"/>
      <c r="T141" s="144"/>
      <c r="U141" s="179">
        <v>0.11</v>
      </c>
      <c r="V141" s="144"/>
      <c r="W141" s="144"/>
      <c r="X141" s="144"/>
      <c r="Y141" s="144"/>
      <c r="Z141" s="144"/>
      <c r="AA141" s="144"/>
      <c r="AB141" s="144"/>
    </row>
    <row r="142" spans="1:41" x14ac:dyDescent="0.2">
      <c r="A142" s="113"/>
      <c r="B142" s="117"/>
      <c r="C142" s="117"/>
      <c r="D142" s="185"/>
      <c r="E142" s="186"/>
      <c r="F142" s="117"/>
      <c r="G142" s="187"/>
      <c r="I142" s="144"/>
      <c r="J142" s="144"/>
      <c r="K142" s="144"/>
      <c r="L142" s="144"/>
      <c r="M142" s="144"/>
      <c r="N142" s="144"/>
      <c r="O142" s="144"/>
      <c r="P142" s="144"/>
      <c r="Q142" s="194"/>
      <c r="R142" s="144"/>
      <c r="S142" s="148"/>
      <c r="T142" s="144"/>
      <c r="U142" s="179">
        <v>0.12</v>
      </c>
      <c r="V142" s="144"/>
      <c r="W142" s="144"/>
      <c r="X142" s="144"/>
      <c r="Y142" s="144"/>
      <c r="Z142" s="144"/>
      <c r="AA142" s="144"/>
      <c r="AB142" s="144"/>
    </row>
    <row r="143" spans="1:41" x14ac:dyDescent="0.2">
      <c r="A143" s="113"/>
      <c r="B143" s="117"/>
      <c r="C143" s="117"/>
      <c r="D143" s="185"/>
      <c r="E143" s="186"/>
      <c r="F143" s="117"/>
      <c r="G143" s="187"/>
      <c r="I143" s="144"/>
      <c r="J143" s="144"/>
      <c r="K143" s="380"/>
      <c r="L143" s="144"/>
      <c r="M143" s="379"/>
      <c r="N143" s="379"/>
      <c r="O143" s="160"/>
      <c r="P143" s="194"/>
      <c r="Q143" s="194"/>
      <c r="R143" s="144"/>
      <c r="S143" s="148"/>
      <c r="T143" s="144"/>
      <c r="U143" s="179">
        <v>0.13</v>
      </c>
      <c r="V143" s="144"/>
      <c r="W143" s="144"/>
      <c r="X143" s="144"/>
      <c r="Y143" s="144"/>
      <c r="Z143" s="144"/>
      <c r="AA143" s="144"/>
      <c r="AB143" s="144"/>
    </row>
    <row r="144" spans="1:41" x14ac:dyDescent="0.2">
      <c r="A144" s="113"/>
      <c r="B144" s="117"/>
      <c r="C144" s="117"/>
      <c r="D144" s="191"/>
      <c r="E144" s="186"/>
      <c r="F144" s="117"/>
      <c r="G144" s="187"/>
      <c r="I144" s="144"/>
      <c r="J144" s="144"/>
      <c r="K144" s="144"/>
      <c r="L144" s="144"/>
      <c r="M144" s="144"/>
      <c r="N144" s="144"/>
      <c r="O144" s="148"/>
      <c r="P144" s="194"/>
      <c r="Q144" s="194"/>
      <c r="R144" s="144"/>
      <c r="S144" s="148"/>
      <c r="T144" s="144"/>
      <c r="U144" s="179">
        <v>0.14000000000000001</v>
      </c>
      <c r="V144" s="144"/>
      <c r="W144" s="144"/>
      <c r="X144" s="144"/>
      <c r="Y144" s="144"/>
      <c r="Z144" s="144"/>
      <c r="AA144" s="144"/>
      <c r="AB144" s="144"/>
    </row>
    <row r="145" spans="1:28" ht="16.5" customHeight="1" x14ac:dyDescent="0.2">
      <c r="A145" s="113"/>
      <c r="B145" s="117"/>
      <c r="C145" s="117"/>
      <c r="D145" s="191"/>
      <c r="E145" s="191"/>
      <c r="F145" s="117"/>
      <c r="G145" s="187"/>
      <c r="I145" s="144"/>
      <c r="J145" s="144"/>
      <c r="K145" s="144"/>
      <c r="L145" s="144"/>
      <c r="M145" s="381"/>
      <c r="N145" s="381"/>
      <c r="O145" s="381"/>
      <c r="P145" s="381"/>
      <c r="Q145" s="381"/>
      <c r="R145" s="144"/>
      <c r="S145" s="148"/>
      <c r="T145" s="144"/>
      <c r="U145" s="179">
        <v>0.15</v>
      </c>
      <c r="V145" s="144"/>
      <c r="W145" s="144"/>
      <c r="X145" s="144"/>
      <c r="Y145" s="144"/>
      <c r="Z145" s="144"/>
      <c r="AA145" s="144"/>
      <c r="AB145" s="144"/>
    </row>
    <row r="146" spans="1:28" x14ac:dyDescent="0.2">
      <c r="A146" s="113"/>
      <c r="B146" s="117"/>
      <c r="C146" s="117"/>
      <c r="D146" s="192"/>
      <c r="E146" s="192"/>
      <c r="F146" s="192"/>
      <c r="G146" s="192"/>
      <c r="I146" s="144"/>
      <c r="J146" s="144"/>
      <c r="K146" s="144"/>
      <c r="L146" s="144"/>
      <c r="M146" s="144"/>
      <c r="N146" s="144"/>
      <c r="O146" s="148"/>
      <c r="P146" s="195"/>
      <c r="Q146" s="195"/>
      <c r="R146" s="144"/>
      <c r="S146" s="144"/>
      <c r="T146" s="144"/>
      <c r="U146" s="179">
        <v>0.16</v>
      </c>
      <c r="V146" s="144"/>
      <c r="W146" s="144"/>
      <c r="X146" s="144"/>
      <c r="Y146" s="144"/>
      <c r="Z146" s="144"/>
      <c r="AA146" s="144"/>
      <c r="AB146" s="144"/>
    </row>
    <row r="147" spans="1:28" x14ac:dyDescent="0.2">
      <c r="A147" s="117"/>
      <c r="B147" s="117"/>
      <c r="C147" s="117"/>
      <c r="D147" s="193"/>
      <c r="E147" s="193"/>
      <c r="F147" s="193"/>
      <c r="G147" s="193"/>
      <c r="I147" s="144"/>
      <c r="J147" s="144"/>
      <c r="K147" s="144"/>
      <c r="L147" s="144"/>
      <c r="M147" s="144"/>
      <c r="N147" s="144"/>
      <c r="O147" s="148"/>
      <c r="P147" s="195"/>
      <c r="Q147" s="195"/>
      <c r="R147" s="144"/>
      <c r="S147" s="148"/>
      <c r="T147" s="144"/>
      <c r="U147" s="179">
        <v>0.17</v>
      </c>
      <c r="V147" s="144"/>
      <c r="W147" s="144"/>
      <c r="X147" s="144"/>
      <c r="Y147" s="144"/>
      <c r="Z147" s="144"/>
      <c r="AA147" s="144"/>
      <c r="AB147" s="144"/>
    </row>
    <row r="148" spans="1:28" x14ac:dyDescent="0.2">
      <c r="A148" s="117"/>
      <c r="B148" s="117"/>
      <c r="C148" s="192"/>
      <c r="D148" s="192"/>
      <c r="E148" s="192"/>
      <c r="F148" s="192"/>
      <c r="G148" s="192"/>
      <c r="I148" s="144"/>
      <c r="J148" s="144"/>
      <c r="K148" s="144"/>
      <c r="L148" s="144"/>
      <c r="M148" s="144"/>
      <c r="N148" s="144"/>
      <c r="O148" s="148"/>
      <c r="P148" s="195"/>
      <c r="Q148" s="195"/>
      <c r="R148" s="144"/>
      <c r="S148" s="148"/>
      <c r="T148" s="144"/>
      <c r="U148" s="179">
        <v>0.18</v>
      </c>
      <c r="V148" s="144"/>
      <c r="W148" s="144"/>
      <c r="X148" s="144"/>
      <c r="Y148" s="144"/>
      <c r="Z148" s="144"/>
      <c r="AA148" s="144"/>
      <c r="AB148" s="144"/>
    </row>
    <row r="149" spans="1:28" x14ac:dyDescent="0.2">
      <c r="A149" s="117"/>
      <c r="B149" s="117"/>
      <c r="C149" s="192"/>
      <c r="D149" s="192"/>
      <c r="E149" s="192"/>
      <c r="F149" s="192"/>
      <c r="G149" s="192"/>
      <c r="I149" s="144"/>
      <c r="J149" s="144"/>
      <c r="K149" s="144"/>
      <c r="L149" s="144"/>
      <c r="M149" s="144"/>
      <c r="N149" s="144"/>
      <c r="O149" s="148"/>
      <c r="P149" s="195"/>
      <c r="Q149" s="195"/>
      <c r="R149" s="144"/>
      <c r="S149" s="148"/>
      <c r="T149" s="144"/>
      <c r="U149" s="179">
        <v>0.19</v>
      </c>
      <c r="V149" s="144"/>
      <c r="W149" s="144"/>
      <c r="X149" s="144"/>
      <c r="Y149" s="144"/>
      <c r="Z149" s="144"/>
      <c r="AA149" s="144"/>
      <c r="AB149" s="144"/>
    </row>
    <row r="150" spans="1:28" x14ac:dyDescent="0.2">
      <c r="A150" s="117"/>
      <c r="B150" s="117"/>
      <c r="C150" s="193"/>
      <c r="D150" s="193"/>
      <c r="E150" s="193"/>
      <c r="F150" s="193"/>
      <c r="G150" s="193"/>
      <c r="I150" s="144"/>
      <c r="J150" s="144"/>
      <c r="K150" s="144"/>
      <c r="L150" s="144"/>
      <c r="M150" s="144"/>
      <c r="N150" s="144"/>
      <c r="O150" s="148"/>
      <c r="P150" s="195"/>
      <c r="Q150" s="195"/>
      <c r="R150" s="144"/>
      <c r="S150" s="144"/>
      <c r="T150" s="144"/>
      <c r="U150" s="179">
        <v>0.2</v>
      </c>
      <c r="V150" s="144"/>
      <c r="W150" s="144"/>
      <c r="X150" s="144"/>
      <c r="Y150" s="144"/>
      <c r="Z150" s="144"/>
      <c r="AA150" s="144"/>
      <c r="AB150" s="144"/>
    </row>
    <row r="151" spans="1:28" x14ac:dyDescent="0.2">
      <c r="A151" s="117"/>
      <c r="B151" s="117"/>
      <c r="C151" s="117"/>
      <c r="D151" s="117"/>
      <c r="E151" s="117"/>
      <c r="F151" s="117"/>
      <c r="G151" s="187"/>
      <c r="I151" s="144"/>
      <c r="J151" s="144"/>
      <c r="K151" s="144"/>
      <c r="L151" s="144"/>
      <c r="M151" s="144"/>
      <c r="N151" s="144"/>
      <c r="O151" s="148"/>
      <c r="P151" s="195"/>
      <c r="Q151" s="195"/>
      <c r="R151" s="144"/>
      <c r="S151" s="144"/>
      <c r="T151" s="144"/>
      <c r="U151" s="179">
        <v>0.21</v>
      </c>
      <c r="V151" s="144"/>
      <c r="W151" s="144"/>
      <c r="X151" s="144"/>
      <c r="Y151" s="144"/>
      <c r="Z151" s="144"/>
      <c r="AA151" s="144"/>
      <c r="AB151" s="144"/>
    </row>
    <row r="152" spans="1:28" x14ac:dyDescent="0.2">
      <c r="A152" s="117"/>
      <c r="B152" s="117"/>
      <c r="C152" s="117"/>
      <c r="D152" s="117"/>
      <c r="E152" s="117"/>
      <c r="F152" s="117"/>
      <c r="G152" s="187"/>
      <c r="I152" s="144"/>
      <c r="J152" s="144"/>
      <c r="K152" s="144"/>
      <c r="L152" s="144"/>
      <c r="M152" s="144"/>
      <c r="N152" s="144"/>
      <c r="O152" s="148" t="s">
        <v>922</v>
      </c>
      <c r="P152" s="195"/>
      <c r="Q152" s="195"/>
      <c r="R152" s="144"/>
      <c r="S152" s="144"/>
      <c r="T152" s="144"/>
      <c r="U152" s="179">
        <v>0.22</v>
      </c>
      <c r="V152" s="144"/>
      <c r="W152" s="144"/>
      <c r="X152" s="144"/>
      <c r="Y152" s="144"/>
      <c r="Z152" s="144"/>
      <c r="AA152" s="144"/>
      <c r="AB152" s="144"/>
    </row>
    <row r="153" spans="1:28" x14ac:dyDescent="0.2">
      <c r="A153" s="117"/>
      <c r="B153" s="117"/>
      <c r="C153" s="117"/>
      <c r="D153" s="117"/>
      <c r="E153" s="117"/>
      <c r="F153" s="117"/>
      <c r="G153" s="187"/>
      <c r="I153" s="144"/>
      <c r="J153" s="144"/>
      <c r="K153" s="144"/>
      <c r="L153" s="144"/>
      <c r="M153" s="144"/>
      <c r="N153" s="144"/>
      <c r="O153" s="148" t="s">
        <v>734</v>
      </c>
      <c r="P153" s="194"/>
      <c r="Q153" s="194"/>
      <c r="R153" s="144"/>
      <c r="S153" s="144"/>
      <c r="T153" s="144"/>
      <c r="U153" s="179">
        <v>0.23</v>
      </c>
      <c r="V153" s="144"/>
      <c r="W153" s="144"/>
      <c r="X153" s="144"/>
      <c r="Y153" s="144"/>
      <c r="Z153" s="144"/>
      <c r="AA153" s="144"/>
      <c r="AB153" s="144"/>
    </row>
    <row r="154" spans="1:28" x14ac:dyDescent="0.2">
      <c r="A154" s="117"/>
      <c r="B154" s="117"/>
      <c r="C154" s="117"/>
      <c r="D154" s="193"/>
      <c r="E154" s="193"/>
      <c r="F154" s="193"/>
      <c r="G154" s="193"/>
      <c r="H154" s="155"/>
      <c r="I154" s="144"/>
      <c r="J154" s="144"/>
      <c r="K154" s="144"/>
      <c r="L154" s="144"/>
      <c r="M154" s="144"/>
      <c r="N154" s="144"/>
      <c r="O154" s="148" t="s">
        <v>757</v>
      </c>
      <c r="P154" s="194"/>
      <c r="Q154" s="194"/>
      <c r="R154" s="144"/>
      <c r="S154" s="144"/>
      <c r="T154" s="144"/>
      <c r="U154" s="179">
        <v>0.24</v>
      </c>
      <c r="V154" s="144"/>
      <c r="W154" s="144"/>
      <c r="X154" s="144"/>
      <c r="Y154" s="144"/>
      <c r="Z154" s="144"/>
      <c r="AA154" s="144"/>
      <c r="AB154" s="144"/>
    </row>
    <row r="155" spans="1:28" x14ac:dyDescent="0.2">
      <c r="A155" s="117"/>
      <c r="B155" s="117"/>
      <c r="C155" s="117"/>
      <c r="D155" s="117"/>
      <c r="E155" s="117"/>
      <c r="F155" s="117"/>
      <c r="G155" s="187"/>
      <c r="I155" s="144"/>
      <c r="J155" s="144"/>
      <c r="K155" s="144"/>
      <c r="L155" s="144"/>
      <c r="M155" s="144"/>
      <c r="N155" s="144"/>
      <c r="O155" s="148" t="s">
        <v>758</v>
      </c>
      <c r="P155" s="194"/>
      <c r="Q155" s="194"/>
      <c r="R155" s="144"/>
      <c r="S155" s="144"/>
      <c r="T155" s="144"/>
      <c r="U155" s="179">
        <v>0.25</v>
      </c>
      <c r="V155" s="144"/>
      <c r="W155" s="144"/>
      <c r="X155" s="144"/>
      <c r="Y155" s="144"/>
      <c r="Z155" s="144"/>
      <c r="AA155" s="144"/>
      <c r="AB155" s="144"/>
    </row>
    <row r="156" spans="1:28" x14ac:dyDescent="0.2">
      <c r="A156" s="117"/>
      <c r="B156" s="117"/>
      <c r="C156" s="117"/>
      <c r="D156" s="117"/>
      <c r="E156" s="117"/>
      <c r="F156" s="117"/>
      <c r="G156" s="187"/>
      <c r="I156" s="144"/>
      <c r="J156" s="144"/>
      <c r="K156" s="144"/>
      <c r="L156" s="144"/>
      <c r="M156" s="144"/>
      <c r="N156" s="144"/>
      <c r="O156" s="148" t="s">
        <v>838</v>
      </c>
      <c r="P156" s="195"/>
      <c r="Q156" s="195"/>
      <c r="R156" s="144"/>
      <c r="S156" s="144"/>
      <c r="T156" s="144"/>
      <c r="U156" s="179">
        <v>0.26</v>
      </c>
      <c r="V156" s="144"/>
      <c r="W156" s="144"/>
      <c r="X156" s="144"/>
      <c r="Y156" s="144"/>
      <c r="Z156" s="144"/>
      <c r="AA156" s="144"/>
      <c r="AB156" s="144"/>
    </row>
    <row r="157" spans="1:28" x14ac:dyDescent="0.2">
      <c r="A157" s="117"/>
      <c r="B157" s="117"/>
      <c r="C157" s="117"/>
      <c r="D157" s="117"/>
      <c r="E157" s="117"/>
      <c r="F157" s="117"/>
      <c r="G157" s="187"/>
      <c r="I157" s="144"/>
      <c r="J157" s="144"/>
      <c r="K157" s="144"/>
      <c r="L157" s="144"/>
      <c r="M157" s="144"/>
      <c r="N157" s="144"/>
      <c r="O157" s="148" t="s">
        <v>839</v>
      </c>
      <c r="P157" s="194"/>
      <c r="Q157" s="194"/>
      <c r="R157" s="144"/>
      <c r="S157" s="144"/>
      <c r="T157" s="144"/>
      <c r="U157" s="179">
        <v>0.27</v>
      </c>
      <c r="V157" s="144"/>
      <c r="W157" s="144"/>
      <c r="X157" s="144"/>
      <c r="Y157" s="144"/>
      <c r="Z157" s="144"/>
      <c r="AA157" s="144"/>
      <c r="AB157" s="144"/>
    </row>
    <row r="158" spans="1:28" x14ac:dyDescent="0.2">
      <c r="A158" s="117"/>
      <c r="B158" s="117"/>
      <c r="C158" s="117"/>
      <c r="D158" s="117"/>
      <c r="E158" s="117"/>
      <c r="F158" s="117"/>
      <c r="G158" s="187"/>
      <c r="I158" s="144"/>
      <c r="J158" s="144"/>
      <c r="K158" s="144"/>
      <c r="L158" s="144"/>
      <c r="M158" s="144"/>
      <c r="N158" s="144"/>
      <c r="O158" s="148" t="s">
        <v>850</v>
      </c>
      <c r="P158" s="195"/>
      <c r="Q158" s="195"/>
      <c r="R158" s="144"/>
      <c r="S158" s="144"/>
      <c r="T158" s="144"/>
      <c r="U158" s="179">
        <v>0.28000000000000003</v>
      </c>
      <c r="V158" s="144"/>
      <c r="W158" s="144"/>
      <c r="X158" s="144"/>
      <c r="Y158" s="144"/>
      <c r="Z158" s="144"/>
      <c r="AA158" s="144"/>
      <c r="AB158" s="144"/>
    </row>
    <row r="159" spans="1:28" x14ac:dyDescent="0.2">
      <c r="A159" s="117"/>
      <c r="B159" s="117"/>
      <c r="C159" s="117"/>
      <c r="D159" s="117"/>
      <c r="E159" s="117"/>
      <c r="F159" s="117"/>
      <c r="G159" s="187"/>
      <c r="I159" s="144"/>
      <c r="J159" s="144"/>
      <c r="K159" s="144"/>
      <c r="L159" s="144"/>
      <c r="M159" s="144"/>
      <c r="N159" s="144"/>
      <c r="O159" s="148"/>
      <c r="P159" s="195"/>
      <c r="Q159" s="195"/>
      <c r="R159" s="144"/>
      <c r="S159" s="144"/>
      <c r="T159" s="144"/>
      <c r="U159" s="179">
        <v>0.28999999999999998</v>
      </c>
      <c r="V159" s="144"/>
      <c r="W159" s="144"/>
      <c r="X159" s="144"/>
      <c r="Y159" s="144"/>
      <c r="Z159" s="144"/>
      <c r="AA159" s="144"/>
      <c r="AB159" s="144"/>
    </row>
    <row r="160" spans="1:28" x14ac:dyDescent="0.2">
      <c r="A160" s="117"/>
      <c r="B160" s="117"/>
      <c r="C160" s="117"/>
      <c r="D160" s="117"/>
      <c r="E160" s="117"/>
      <c r="F160" s="117"/>
      <c r="G160" s="187"/>
      <c r="I160" s="144"/>
      <c r="J160" s="144"/>
      <c r="K160" s="144"/>
      <c r="L160" s="144"/>
      <c r="M160" s="144"/>
      <c r="N160" s="144"/>
      <c r="O160" s="148"/>
      <c r="P160" s="194"/>
      <c r="Q160" s="194"/>
      <c r="R160" s="144"/>
      <c r="S160" s="144"/>
      <c r="T160" s="144"/>
      <c r="U160" s="179">
        <v>0.3</v>
      </c>
      <c r="V160" s="144"/>
      <c r="W160" s="144"/>
      <c r="X160" s="144"/>
      <c r="Y160" s="144"/>
      <c r="Z160" s="144"/>
      <c r="AA160" s="144"/>
      <c r="AB160" s="144"/>
    </row>
    <row r="161" spans="1:28" x14ac:dyDescent="0.2">
      <c r="A161" s="117"/>
      <c r="B161" s="117"/>
      <c r="C161" s="117"/>
      <c r="D161" s="117"/>
      <c r="E161" s="117"/>
      <c r="F161" s="117"/>
      <c r="G161" s="187"/>
      <c r="I161" s="144"/>
      <c r="J161" s="144"/>
      <c r="K161" s="144"/>
      <c r="L161" s="144"/>
      <c r="M161" s="144"/>
      <c r="N161" s="144"/>
      <c r="O161" s="148"/>
      <c r="P161" s="195"/>
      <c r="Q161" s="195"/>
      <c r="R161" s="144"/>
      <c r="S161" s="144"/>
      <c r="T161" s="144"/>
      <c r="U161" s="179">
        <v>0.31</v>
      </c>
      <c r="V161" s="144"/>
      <c r="W161" s="144"/>
      <c r="X161" s="144"/>
      <c r="Y161" s="144"/>
      <c r="Z161" s="144"/>
      <c r="AA161" s="144"/>
      <c r="AB161" s="144"/>
    </row>
    <row r="162" spans="1:28" x14ac:dyDescent="0.2">
      <c r="A162" s="117"/>
      <c r="B162" s="117"/>
      <c r="C162" s="117"/>
      <c r="D162" s="117"/>
      <c r="E162" s="117"/>
      <c r="F162" s="117"/>
      <c r="G162" s="187"/>
      <c r="I162" s="144"/>
      <c r="J162" s="144"/>
      <c r="K162" s="144"/>
      <c r="L162" s="144"/>
      <c r="M162" s="144"/>
      <c r="N162" s="144"/>
      <c r="O162" s="148"/>
      <c r="P162" s="195"/>
      <c r="Q162" s="195"/>
      <c r="R162" s="144"/>
      <c r="S162" s="144"/>
      <c r="T162" s="144"/>
      <c r="U162" s="179">
        <v>0.32</v>
      </c>
      <c r="V162" s="144"/>
      <c r="W162" s="144"/>
      <c r="X162" s="144"/>
      <c r="Y162" s="144"/>
      <c r="Z162" s="144"/>
      <c r="AA162" s="144"/>
      <c r="AB162" s="144"/>
    </row>
    <row r="163" spans="1:28" x14ac:dyDescent="0.2">
      <c r="A163" s="117"/>
      <c r="B163" s="117"/>
      <c r="C163" s="117"/>
      <c r="D163" s="117"/>
      <c r="E163" s="117"/>
      <c r="F163" s="117"/>
      <c r="G163" s="187"/>
      <c r="I163" s="144"/>
      <c r="J163" s="144"/>
      <c r="K163" s="144"/>
      <c r="L163" s="144"/>
      <c r="M163" s="144"/>
      <c r="N163" s="144"/>
      <c r="O163" s="146"/>
      <c r="P163" s="195"/>
      <c r="Q163" s="195"/>
      <c r="R163" s="144"/>
      <c r="S163" s="144"/>
      <c r="T163" s="144"/>
      <c r="U163" s="179">
        <v>0.33</v>
      </c>
      <c r="V163" s="144"/>
      <c r="W163" s="144"/>
      <c r="X163" s="144"/>
      <c r="Y163" s="144"/>
      <c r="Z163" s="144"/>
      <c r="AA163" s="144"/>
      <c r="AB163" s="144"/>
    </row>
    <row r="164" spans="1:28" x14ac:dyDescent="0.2">
      <c r="A164" s="117"/>
      <c r="B164" s="117"/>
      <c r="C164" s="117"/>
      <c r="D164" s="117"/>
      <c r="E164" s="117"/>
      <c r="F164" s="117"/>
      <c r="G164" s="187"/>
      <c r="I164" s="144"/>
      <c r="J164" s="144"/>
      <c r="K164" s="144"/>
      <c r="L164" s="144"/>
      <c r="M164" s="144"/>
      <c r="N164" s="144"/>
      <c r="O164" s="148"/>
      <c r="P164" s="195"/>
      <c r="Q164" s="195"/>
      <c r="R164" s="144"/>
      <c r="S164" s="144"/>
      <c r="T164" s="144"/>
      <c r="U164" s="179">
        <v>0.34</v>
      </c>
      <c r="V164" s="144"/>
      <c r="W164" s="144"/>
      <c r="X164" s="144"/>
      <c r="Y164" s="144"/>
      <c r="Z164" s="144"/>
      <c r="AA164" s="144"/>
      <c r="AB164" s="144"/>
    </row>
    <row r="165" spans="1:28" x14ac:dyDescent="0.2">
      <c r="A165" s="117"/>
      <c r="B165" s="117"/>
      <c r="C165" s="117"/>
      <c r="D165" s="117"/>
      <c r="E165" s="117"/>
      <c r="F165" s="117"/>
      <c r="G165" s="187"/>
      <c r="I165" s="144"/>
      <c r="J165" s="144"/>
      <c r="K165" s="144"/>
      <c r="L165" s="144"/>
      <c r="M165" s="144"/>
      <c r="N165" s="144"/>
      <c r="O165" s="148"/>
      <c r="P165" s="194"/>
      <c r="Q165" s="194"/>
      <c r="R165" s="144"/>
      <c r="S165" s="144"/>
      <c r="T165" s="144"/>
      <c r="U165" s="179">
        <v>0.35</v>
      </c>
      <c r="V165" s="144"/>
      <c r="W165" s="144"/>
      <c r="X165" s="144"/>
      <c r="Y165" s="144"/>
      <c r="Z165" s="144"/>
      <c r="AA165" s="144"/>
      <c r="AB165" s="144"/>
    </row>
    <row r="166" spans="1:28" x14ac:dyDescent="0.2">
      <c r="A166" s="117"/>
      <c r="B166" s="117"/>
      <c r="C166" s="117"/>
      <c r="D166" s="117"/>
      <c r="E166" s="117"/>
      <c r="F166" s="117"/>
      <c r="G166" s="187"/>
      <c r="I166" s="144"/>
      <c r="J166" s="144"/>
      <c r="K166" s="144"/>
      <c r="L166" s="144"/>
      <c r="M166" s="144"/>
      <c r="N166" s="144"/>
      <c r="O166" s="148"/>
      <c r="P166" s="195"/>
      <c r="Q166" s="195"/>
      <c r="R166" s="144"/>
      <c r="S166" s="144"/>
      <c r="T166" s="144"/>
      <c r="U166" s="179">
        <v>0.36</v>
      </c>
      <c r="V166" s="144"/>
      <c r="W166" s="144"/>
      <c r="X166" s="144"/>
      <c r="Y166" s="144"/>
      <c r="Z166" s="144"/>
      <c r="AA166" s="144"/>
      <c r="AB166" s="144"/>
    </row>
    <row r="167" spans="1:28" x14ac:dyDescent="0.2">
      <c r="A167" s="117"/>
      <c r="B167" s="117"/>
      <c r="C167" s="117"/>
      <c r="D167" s="117"/>
      <c r="E167" s="117"/>
      <c r="F167" s="117"/>
      <c r="G167" s="187"/>
      <c r="I167" s="144"/>
      <c r="J167" s="144"/>
      <c r="K167" s="144"/>
      <c r="L167" s="144"/>
      <c r="M167" s="144"/>
      <c r="N167" s="144"/>
      <c r="O167" s="148"/>
      <c r="P167" s="195"/>
      <c r="Q167" s="195"/>
      <c r="R167" s="144"/>
      <c r="S167" s="144"/>
      <c r="T167" s="144"/>
      <c r="U167" s="179">
        <v>0.37</v>
      </c>
      <c r="V167" s="144"/>
      <c r="W167" s="144"/>
      <c r="X167" s="144"/>
      <c r="Y167" s="144"/>
      <c r="Z167" s="144"/>
      <c r="AA167" s="144"/>
      <c r="AB167" s="144"/>
    </row>
    <row r="168" spans="1:28" x14ac:dyDescent="0.2">
      <c r="A168" s="117"/>
      <c r="B168" s="117"/>
      <c r="C168" s="117"/>
      <c r="D168" s="117"/>
      <c r="E168" s="117"/>
      <c r="F168" s="117"/>
      <c r="G168" s="187"/>
      <c r="I168" s="144"/>
      <c r="J168" s="144"/>
      <c r="K168" s="144"/>
      <c r="L168" s="144"/>
      <c r="M168" s="144"/>
      <c r="N168" s="144"/>
      <c r="O168" s="148"/>
      <c r="P168" s="195"/>
      <c r="Q168" s="195"/>
      <c r="R168" s="144"/>
      <c r="S168" s="144"/>
      <c r="T168" s="144"/>
      <c r="U168" s="179">
        <v>0.38</v>
      </c>
      <c r="V168" s="144"/>
      <c r="W168" s="144"/>
      <c r="X168" s="144"/>
      <c r="Y168" s="144"/>
      <c r="Z168" s="144"/>
      <c r="AA168" s="144"/>
      <c r="AB168" s="144"/>
    </row>
    <row r="169" spans="1:28" x14ac:dyDescent="0.2">
      <c r="A169" s="117"/>
      <c r="B169" s="117"/>
      <c r="C169" s="117"/>
      <c r="D169" s="117"/>
      <c r="E169" s="117"/>
      <c r="F169" s="117"/>
      <c r="G169" s="187"/>
      <c r="I169" s="144"/>
      <c r="J169" s="144"/>
      <c r="K169" s="144"/>
      <c r="L169" s="144"/>
      <c r="M169" s="144"/>
      <c r="N169" s="144"/>
      <c r="O169" s="148"/>
      <c r="P169" s="195"/>
      <c r="Q169" s="195"/>
      <c r="R169" s="144"/>
      <c r="S169" s="144"/>
      <c r="T169" s="144"/>
      <c r="U169" s="179">
        <v>0.39</v>
      </c>
      <c r="V169" s="144"/>
      <c r="W169" s="144"/>
      <c r="X169" s="144"/>
      <c r="Y169" s="144"/>
      <c r="Z169" s="144"/>
      <c r="AA169" s="144"/>
      <c r="AB169" s="144"/>
    </row>
    <row r="170" spans="1:28" x14ac:dyDescent="0.2">
      <c r="A170" s="117"/>
      <c r="B170" s="117"/>
      <c r="C170" s="117"/>
      <c r="D170" s="117"/>
      <c r="E170" s="117"/>
      <c r="F170" s="117"/>
      <c r="G170" s="187"/>
      <c r="I170" s="144"/>
      <c r="J170" s="144"/>
      <c r="K170" s="144"/>
      <c r="L170" s="144"/>
      <c r="M170" s="144"/>
      <c r="N170" s="144"/>
      <c r="O170" s="148"/>
      <c r="P170" s="195"/>
      <c r="Q170" s="195"/>
      <c r="R170" s="144"/>
      <c r="S170" s="144"/>
      <c r="T170" s="144"/>
      <c r="U170" s="179">
        <v>0.4</v>
      </c>
      <c r="V170" s="144"/>
      <c r="W170" s="144"/>
      <c r="X170" s="144"/>
      <c r="Y170" s="144"/>
      <c r="Z170" s="144"/>
      <c r="AA170" s="144"/>
      <c r="AB170" s="144"/>
    </row>
    <row r="171" spans="1:28" x14ac:dyDescent="0.2">
      <c r="A171" s="117"/>
      <c r="B171" s="117"/>
      <c r="C171" s="117"/>
      <c r="D171" s="117"/>
      <c r="E171" s="117"/>
      <c r="F171" s="117"/>
      <c r="G171" s="187"/>
      <c r="I171" s="144"/>
      <c r="J171" s="144"/>
      <c r="K171" s="144"/>
      <c r="L171" s="144"/>
      <c r="M171" s="144"/>
      <c r="N171" s="144"/>
      <c r="O171" s="148"/>
      <c r="P171" s="195"/>
      <c r="Q171" s="195"/>
      <c r="R171" s="144"/>
      <c r="S171" s="144"/>
      <c r="T171" s="144"/>
      <c r="U171" s="179">
        <v>0.41</v>
      </c>
      <c r="V171" s="144"/>
      <c r="W171" s="144"/>
      <c r="X171" s="144"/>
      <c r="Y171" s="144"/>
      <c r="Z171" s="144"/>
      <c r="AA171" s="144"/>
      <c r="AB171" s="144"/>
    </row>
    <row r="172" spans="1:28" x14ac:dyDescent="0.2">
      <c r="A172" s="117"/>
      <c r="B172" s="117"/>
      <c r="C172" s="117"/>
      <c r="D172" s="117"/>
      <c r="E172" s="117"/>
      <c r="F172" s="117"/>
      <c r="G172" s="187"/>
      <c r="I172" s="144"/>
      <c r="J172" s="144"/>
      <c r="K172" s="144"/>
      <c r="L172" s="144"/>
      <c r="M172" s="144"/>
      <c r="N172" s="144"/>
      <c r="O172" s="148"/>
      <c r="P172" s="195"/>
      <c r="Q172" s="195"/>
      <c r="R172" s="144"/>
      <c r="S172" s="144"/>
      <c r="T172" s="144"/>
      <c r="U172" s="179">
        <v>0.42</v>
      </c>
      <c r="V172" s="144"/>
      <c r="W172" s="144"/>
      <c r="X172" s="144"/>
      <c r="Y172" s="144"/>
      <c r="Z172" s="144"/>
      <c r="AA172" s="144"/>
      <c r="AB172" s="144"/>
    </row>
    <row r="173" spans="1:28" x14ac:dyDescent="0.2">
      <c r="A173" s="117"/>
      <c r="B173" s="117"/>
      <c r="C173" s="117"/>
      <c r="D173" s="117"/>
      <c r="E173" s="117"/>
      <c r="F173" s="117"/>
      <c r="G173" s="187"/>
      <c r="I173" s="144"/>
      <c r="J173" s="144"/>
      <c r="K173" s="144"/>
      <c r="L173" s="144"/>
      <c r="M173" s="144"/>
      <c r="N173" s="144"/>
      <c r="O173" s="148"/>
      <c r="P173" s="195"/>
      <c r="Q173" s="195"/>
      <c r="R173" s="144"/>
      <c r="S173" s="144"/>
      <c r="T173" s="144"/>
      <c r="U173" s="179">
        <v>0.43</v>
      </c>
      <c r="V173" s="144"/>
      <c r="W173" s="144"/>
      <c r="X173" s="144"/>
      <c r="Y173" s="144"/>
      <c r="Z173" s="144"/>
      <c r="AA173" s="144"/>
      <c r="AB173" s="144"/>
    </row>
    <row r="174" spans="1:28" x14ac:dyDescent="0.2">
      <c r="A174" s="117"/>
      <c r="B174" s="117"/>
      <c r="C174" s="117"/>
      <c r="D174" s="117"/>
      <c r="E174" s="117"/>
      <c r="F174" s="117"/>
      <c r="G174" s="187"/>
      <c r="I174" s="144"/>
      <c r="J174" s="144"/>
      <c r="K174" s="144"/>
      <c r="L174" s="144"/>
      <c r="M174" s="144"/>
      <c r="N174" s="144"/>
      <c r="O174" s="148"/>
      <c r="P174" s="195"/>
      <c r="Q174" s="195"/>
      <c r="R174" s="144"/>
      <c r="S174" s="144"/>
      <c r="T174" s="144"/>
      <c r="U174" s="179">
        <v>0.44</v>
      </c>
      <c r="V174" s="144"/>
      <c r="W174" s="144"/>
      <c r="X174" s="144"/>
      <c r="Y174" s="144"/>
      <c r="Z174" s="144"/>
      <c r="AA174" s="144"/>
      <c r="AB174" s="144"/>
    </row>
    <row r="175" spans="1:28" x14ac:dyDescent="0.2">
      <c r="A175" s="117"/>
      <c r="B175" s="117"/>
      <c r="C175" s="117"/>
      <c r="D175" s="117"/>
      <c r="E175" s="117"/>
      <c r="F175" s="117"/>
      <c r="G175" s="187"/>
      <c r="I175" s="144"/>
      <c r="J175" s="144"/>
      <c r="K175" s="144"/>
      <c r="L175" s="144"/>
      <c r="M175" s="144"/>
      <c r="N175" s="144"/>
      <c r="O175" s="148"/>
      <c r="P175" s="195"/>
      <c r="Q175" s="195"/>
      <c r="R175" s="144"/>
      <c r="S175" s="144"/>
      <c r="T175" s="144"/>
      <c r="U175" s="179">
        <v>0.45</v>
      </c>
      <c r="V175" s="144"/>
      <c r="W175" s="144"/>
      <c r="X175" s="144"/>
      <c r="Y175" s="144"/>
      <c r="Z175" s="144"/>
      <c r="AA175" s="144"/>
      <c r="AB175" s="144"/>
    </row>
    <row r="176" spans="1:28" x14ac:dyDescent="0.2">
      <c r="A176" s="117"/>
      <c r="B176" s="117"/>
      <c r="C176" s="117"/>
      <c r="D176" s="117"/>
      <c r="E176" s="117"/>
      <c r="F176" s="117"/>
      <c r="G176" s="187"/>
      <c r="I176" s="144"/>
      <c r="J176" s="144"/>
      <c r="K176" s="144"/>
      <c r="L176" s="144"/>
      <c r="M176" s="144"/>
      <c r="N176" s="144"/>
      <c r="O176" s="148"/>
      <c r="P176" s="195"/>
      <c r="Q176" s="195"/>
      <c r="R176" s="144"/>
      <c r="S176" s="144"/>
      <c r="T176" s="144"/>
      <c r="U176" s="179">
        <v>0.46</v>
      </c>
      <c r="V176" s="144"/>
      <c r="W176" s="144"/>
      <c r="X176" s="144"/>
      <c r="Y176" s="144"/>
      <c r="Z176" s="144"/>
      <c r="AA176" s="144"/>
      <c r="AB176" s="144"/>
    </row>
    <row r="177" spans="1:28" x14ac:dyDescent="0.2">
      <c r="A177" s="117"/>
      <c r="B177" s="117"/>
      <c r="C177" s="117"/>
      <c r="D177" s="117"/>
      <c r="E177" s="117"/>
      <c r="F177" s="117"/>
      <c r="G177" s="187"/>
      <c r="I177" s="144"/>
      <c r="J177" s="144"/>
      <c r="K177" s="144"/>
      <c r="L177" s="144"/>
      <c r="M177" s="144"/>
      <c r="N177" s="144"/>
      <c r="O177" s="148"/>
      <c r="P177" s="195"/>
      <c r="Q177" s="195"/>
      <c r="R177" s="144"/>
      <c r="S177" s="144"/>
      <c r="T177" s="144"/>
      <c r="U177" s="179">
        <v>0.47</v>
      </c>
      <c r="V177" s="144"/>
      <c r="W177" s="144"/>
      <c r="X177" s="144"/>
      <c r="Y177" s="144"/>
      <c r="Z177" s="144"/>
      <c r="AA177" s="144"/>
      <c r="AB177" s="144"/>
    </row>
    <row r="178" spans="1:28" x14ac:dyDescent="0.2">
      <c r="A178" s="117"/>
      <c r="B178" s="117"/>
      <c r="C178" s="117"/>
      <c r="D178" s="117"/>
      <c r="E178" s="117"/>
      <c r="F178" s="117"/>
      <c r="G178" s="187"/>
      <c r="I178" s="144"/>
      <c r="J178" s="144"/>
      <c r="K178" s="144"/>
      <c r="L178" s="144"/>
      <c r="M178" s="144"/>
      <c r="N178" s="144"/>
      <c r="O178" s="148"/>
      <c r="P178" s="195"/>
      <c r="Q178" s="195"/>
      <c r="R178" s="144"/>
      <c r="S178" s="144"/>
      <c r="T178" s="144"/>
      <c r="U178" s="179">
        <v>0.48</v>
      </c>
      <c r="V178" s="144"/>
      <c r="W178" s="144"/>
      <c r="X178" s="144"/>
      <c r="Y178" s="144"/>
      <c r="Z178" s="144"/>
      <c r="AA178" s="144"/>
      <c r="AB178" s="144"/>
    </row>
    <row r="179" spans="1:28" x14ac:dyDescent="0.2">
      <c r="A179" s="117"/>
      <c r="B179" s="117"/>
      <c r="C179" s="117"/>
      <c r="D179" s="117"/>
      <c r="E179" s="117"/>
      <c r="F179" s="117"/>
      <c r="G179" s="187"/>
      <c r="I179" s="144"/>
      <c r="J179" s="144"/>
      <c r="K179" s="144"/>
      <c r="L179" s="144"/>
      <c r="M179" s="144"/>
      <c r="N179" s="144"/>
      <c r="O179" s="148"/>
      <c r="P179" s="195"/>
      <c r="Q179" s="195"/>
      <c r="R179" s="144"/>
      <c r="S179" s="144"/>
      <c r="T179" s="144"/>
      <c r="U179" s="179">
        <v>0.49</v>
      </c>
      <c r="V179" s="144"/>
      <c r="W179" s="144"/>
      <c r="X179" s="144"/>
      <c r="Y179" s="144"/>
      <c r="Z179" s="144"/>
      <c r="AA179" s="144"/>
      <c r="AB179" s="144"/>
    </row>
    <row r="180" spans="1:28" x14ac:dyDescent="0.2">
      <c r="A180" s="117"/>
      <c r="B180" s="117"/>
      <c r="C180" s="117"/>
      <c r="D180" s="117"/>
      <c r="E180" s="117"/>
      <c r="F180" s="117"/>
      <c r="G180" s="187"/>
      <c r="I180" s="144"/>
      <c r="J180" s="144"/>
      <c r="K180" s="144"/>
      <c r="L180" s="144"/>
      <c r="M180" s="144"/>
      <c r="N180" s="144"/>
      <c r="O180" s="148"/>
      <c r="P180" s="195"/>
      <c r="Q180" s="195"/>
      <c r="R180" s="144"/>
      <c r="S180" s="144"/>
      <c r="T180" s="144"/>
      <c r="U180" s="179">
        <v>0.5</v>
      </c>
      <c r="V180" s="144"/>
      <c r="W180" s="144"/>
      <c r="X180" s="144"/>
      <c r="Y180" s="144"/>
      <c r="Z180" s="144"/>
      <c r="AA180" s="144"/>
      <c r="AB180" s="144"/>
    </row>
    <row r="181" spans="1:28" x14ac:dyDescent="0.2">
      <c r="A181" s="117"/>
      <c r="B181" s="117"/>
      <c r="C181" s="117"/>
      <c r="D181" s="117"/>
      <c r="E181" s="117"/>
      <c r="F181" s="117"/>
      <c r="G181" s="187"/>
      <c r="I181" s="144"/>
      <c r="J181" s="144"/>
      <c r="K181" s="144"/>
      <c r="L181" s="144"/>
      <c r="M181" s="144"/>
      <c r="N181" s="144"/>
      <c r="O181" s="148"/>
      <c r="P181" s="195"/>
      <c r="Q181" s="195"/>
      <c r="R181" s="144"/>
      <c r="S181" s="144"/>
      <c r="T181" s="144"/>
      <c r="U181" s="179">
        <v>0.51</v>
      </c>
      <c r="V181" s="144"/>
      <c r="W181" s="144"/>
      <c r="X181" s="144"/>
      <c r="Y181" s="144"/>
      <c r="Z181" s="144"/>
      <c r="AA181" s="144"/>
      <c r="AB181" s="144"/>
    </row>
    <row r="182" spans="1:28" x14ac:dyDescent="0.2">
      <c r="A182" s="117"/>
      <c r="B182" s="117"/>
      <c r="C182" s="117"/>
      <c r="D182" s="117"/>
      <c r="E182" s="117"/>
      <c r="F182" s="117"/>
      <c r="G182" s="187"/>
      <c r="I182" s="144"/>
      <c r="J182" s="144"/>
      <c r="K182" s="144"/>
      <c r="L182" s="144"/>
      <c r="M182" s="144"/>
      <c r="N182" s="144"/>
      <c r="O182" s="148"/>
      <c r="P182" s="195"/>
      <c r="Q182" s="195"/>
      <c r="R182" s="144"/>
      <c r="S182" s="144"/>
      <c r="T182" s="144"/>
      <c r="U182" s="179">
        <v>0.52</v>
      </c>
      <c r="V182" s="144"/>
      <c r="W182" s="144"/>
      <c r="X182" s="144"/>
      <c r="Y182" s="144"/>
      <c r="Z182" s="144"/>
      <c r="AA182" s="144"/>
      <c r="AB182" s="144"/>
    </row>
    <row r="183" spans="1:28" x14ac:dyDescent="0.2">
      <c r="A183" s="117"/>
      <c r="B183" s="117"/>
      <c r="C183" s="117"/>
      <c r="D183" s="117"/>
      <c r="E183" s="117"/>
      <c r="F183" s="117"/>
      <c r="G183" s="187"/>
      <c r="I183" s="144"/>
      <c r="J183" s="144"/>
      <c r="K183" s="144"/>
      <c r="L183" s="144"/>
      <c r="M183" s="144"/>
      <c r="N183" s="144"/>
      <c r="O183" s="148"/>
      <c r="P183" s="195"/>
      <c r="Q183" s="195"/>
      <c r="R183" s="144"/>
      <c r="S183" s="144"/>
      <c r="T183" s="144"/>
      <c r="U183" s="179">
        <v>0.53</v>
      </c>
      <c r="V183" s="144"/>
      <c r="W183" s="144"/>
      <c r="X183" s="144"/>
      <c r="Y183" s="144"/>
      <c r="Z183" s="144"/>
      <c r="AA183" s="144"/>
      <c r="AB183" s="144"/>
    </row>
    <row r="184" spans="1:28" x14ac:dyDescent="0.2">
      <c r="A184" s="117"/>
      <c r="B184" s="117"/>
      <c r="C184" s="117"/>
      <c r="D184" s="117"/>
      <c r="E184" s="117"/>
      <c r="F184" s="117"/>
      <c r="G184" s="187"/>
      <c r="I184" s="144"/>
      <c r="J184" s="144"/>
      <c r="K184" s="144"/>
      <c r="L184" s="144"/>
      <c r="M184" s="144"/>
      <c r="N184" s="144"/>
      <c r="O184" s="148"/>
      <c r="P184" s="195"/>
      <c r="Q184" s="195"/>
      <c r="R184" s="144"/>
      <c r="S184" s="144"/>
      <c r="T184" s="144"/>
      <c r="U184" s="179">
        <v>0.54</v>
      </c>
      <c r="V184" s="144"/>
      <c r="W184" s="144"/>
      <c r="X184" s="144"/>
      <c r="Y184" s="144"/>
      <c r="Z184" s="144"/>
      <c r="AA184" s="144"/>
      <c r="AB184" s="144"/>
    </row>
    <row r="185" spans="1:28" x14ac:dyDescent="0.2">
      <c r="A185" s="117"/>
      <c r="B185" s="117"/>
      <c r="C185" s="117"/>
      <c r="D185" s="117"/>
      <c r="E185" s="117"/>
      <c r="F185" s="117"/>
      <c r="G185" s="187"/>
      <c r="I185" s="144"/>
      <c r="J185" s="144"/>
      <c r="K185" s="144"/>
      <c r="L185" s="144"/>
      <c r="M185" s="144"/>
      <c r="N185" s="144"/>
      <c r="O185" s="148"/>
      <c r="P185" s="195"/>
      <c r="Q185" s="195"/>
      <c r="R185" s="144"/>
      <c r="S185" s="144"/>
      <c r="T185" s="144"/>
      <c r="U185" s="179">
        <v>0.55000000000000004</v>
      </c>
      <c r="V185" s="144"/>
      <c r="W185" s="144"/>
      <c r="X185" s="144"/>
      <c r="Y185" s="144"/>
      <c r="Z185" s="144"/>
      <c r="AA185" s="144"/>
      <c r="AB185" s="144"/>
    </row>
    <row r="186" spans="1:28" x14ac:dyDescent="0.2">
      <c r="A186" s="117"/>
      <c r="B186" s="117"/>
      <c r="C186" s="117"/>
      <c r="D186" s="117"/>
      <c r="E186" s="117"/>
      <c r="F186" s="117"/>
      <c r="G186" s="187"/>
      <c r="I186" s="144"/>
      <c r="J186" s="144"/>
      <c r="K186" s="144"/>
      <c r="L186" s="144"/>
      <c r="M186" s="144"/>
      <c r="N186" s="144"/>
      <c r="O186" s="148"/>
      <c r="P186" s="195"/>
      <c r="Q186" s="195"/>
      <c r="R186" s="144"/>
      <c r="S186" s="144"/>
      <c r="T186" s="144"/>
      <c r="U186" s="179">
        <v>0.56000000000000005</v>
      </c>
      <c r="V186" s="144"/>
      <c r="W186" s="144"/>
      <c r="X186" s="144"/>
      <c r="Y186" s="144"/>
      <c r="Z186" s="144"/>
      <c r="AA186" s="144"/>
      <c r="AB186" s="144"/>
    </row>
    <row r="187" spans="1:28" x14ac:dyDescent="0.2">
      <c r="A187" s="117"/>
      <c r="B187" s="117"/>
      <c r="C187" s="117"/>
      <c r="D187" s="117"/>
      <c r="E187" s="117"/>
      <c r="F187" s="117"/>
      <c r="G187" s="187"/>
      <c r="I187" s="144"/>
      <c r="J187" s="144"/>
      <c r="K187" s="144"/>
      <c r="L187" s="144"/>
      <c r="M187" s="144"/>
      <c r="N187" s="144"/>
      <c r="O187" s="148"/>
      <c r="P187" s="195"/>
      <c r="Q187" s="195"/>
      <c r="R187" s="144"/>
      <c r="S187" s="144"/>
      <c r="T187" s="144"/>
      <c r="U187" s="179">
        <v>0.56999999999999995</v>
      </c>
      <c r="V187" s="144"/>
      <c r="W187" s="144"/>
      <c r="X187" s="144"/>
      <c r="Y187" s="144"/>
      <c r="Z187" s="144"/>
      <c r="AA187" s="144"/>
      <c r="AB187" s="144"/>
    </row>
    <row r="188" spans="1:28" x14ac:dyDescent="0.2">
      <c r="A188" s="117"/>
      <c r="B188" s="117"/>
      <c r="C188" s="117"/>
      <c r="D188" s="117"/>
      <c r="E188" s="117"/>
      <c r="F188" s="117"/>
      <c r="G188" s="187"/>
      <c r="I188" s="144"/>
      <c r="J188" s="144"/>
      <c r="K188" s="144"/>
      <c r="L188" s="144"/>
      <c r="M188" s="144"/>
      <c r="N188" s="144"/>
      <c r="O188" s="148"/>
      <c r="P188" s="195"/>
      <c r="Q188" s="195"/>
      <c r="R188" s="144"/>
      <c r="S188" s="144"/>
      <c r="T188" s="144"/>
      <c r="U188" s="179">
        <v>0.57999999999999996</v>
      </c>
      <c r="V188" s="144"/>
      <c r="W188" s="144"/>
      <c r="X188" s="144"/>
      <c r="Y188" s="144"/>
      <c r="Z188" s="144"/>
      <c r="AA188" s="144"/>
      <c r="AB188" s="144"/>
    </row>
    <row r="189" spans="1:28" x14ac:dyDescent="0.2">
      <c r="A189" s="117"/>
      <c r="B189" s="117"/>
      <c r="C189" s="117"/>
      <c r="D189" s="117"/>
      <c r="E189" s="117"/>
      <c r="F189" s="117"/>
      <c r="G189" s="187"/>
      <c r="I189" s="144"/>
      <c r="J189" s="144"/>
      <c r="K189" s="144"/>
      <c r="L189" s="144"/>
      <c r="M189" s="144"/>
      <c r="N189" s="144"/>
      <c r="O189" s="148"/>
      <c r="P189" s="195"/>
      <c r="Q189" s="195"/>
      <c r="R189" s="144"/>
      <c r="S189" s="144"/>
      <c r="T189" s="144"/>
      <c r="U189" s="179">
        <v>0.59</v>
      </c>
      <c r="V189" s="144"/>
      <c r="W189" s="144"/>
      <c r="X189" s="144"/>
      <c r="Y189" s="144"/>
      <c r="Z189" s="144"/>
      <c r="AA189" s="144"/>
      <c r="AB189" s="144"/>
    </row>
    <row r="190" spans="1:28" x14ac:dyDescent="0.2">
      <c r="A190" s="117"/>
      <c r="B190" s="117"/>
      <c r="C190" s="117"/>
      <c r="D190" s="117"/>
      <c r="E190" s="117"/>
      <c r="F190" s="117"/>
      <c r="G190" s="187"/>
      <c r="I190" s="144"/>
      <c r="J190" s="144"/>
      <c r="K190" s="144"/>
      <c r="L190" s="144"/>
      <c r="M190" s="144"/>
      <c r="N190" s="144"/>
      <c r="O190" s="148"/>
      <c r="P190" s="195"/>
      <c r="Q190" s="195"/>
      <c r="R190" s="144"/>
      <c r="S190" s="144"/>
      <c r="T190" s="144"/>
      <c r="U190" s="179">
        <v>0.6</v>
      </c>
      <c r="V190" s="144"/>
      <c r="W190" s="144"/>
      <c r="X190" s="144"/>
      <c r="Y190" s="144"/>
      <c r="Z190" s="144"/>
      <c r="AA190" s="144"/>
      <c r="AB190" s="144"/>
    </row>
    <row r="191" spans="1:28" x14ac:dyDescent="0.2">
      <c r="A191" s="117"/>
      <c r="B191" s="117"/>
      <c r="C191" s="117"/>
      <c r="D191" s="117"/>
      <c r="E191" s="117"/>
      <c r="F191" s="117"/>
      <c r="G191" s="187"/>
      <c r="I191" s="144"/>
      <c r="J191" s="144"/>
      <c r="K191" s="144"/>
      <c r="L191" s="144"/>
      <c r="M191" s="144"/>
      <c r="N191" s="144"/>
      <c r="O191" s="148"/>
      <c r="P191" s="195"/>
      <c r="Q191" s="195"/>
      <c r="R191" s="144"/>
      <c r="S191" s="144"/>
      <c r="T191" s="144"/>
      <c r="U191" s="179">
        <v>0.61</v>
      </c>
      <c r="V191" s="144"/>
      <c r="W191" s="144"/>
      <c r="X191" s="144"/>
      <c r="Y191" s="144"/>
      <c r="Z191" s="144"/>
      <c r="AA191" s="144"/>
      <c r="AB191" s="144"/>
    </row>
    <row r="192" spans="1:28" x14ac:dyDescent="0.2">
      <c r="A192" s="117"/>
      <c r="B192" s="117"/>
      <c r="C192" s="117"/>
      <c r="D192" s="117"/>
      <c r="E192" s="117"/>
      <c r="F192" s="117"/>
      <c r="G192" s="187"/>
      <c r="I192" s="144"/>
      <c r="J192" s="144"/>
      <c r="K192" s="144"/>
      <c r="L192" s="144"/>
      <c r="M192" s="144"/>
      <c r="N192" s="144"/>
      <c r="O192" s="148"/>
      <c r="P192" s="195"/>
      <c r="Q192" s="195"/>
      <c r="R192" s="144"/>
      <c r="S192" s="144"/>
      <c r="T192" s="144"/>
      <c r="U192" s="179">
        <v>0.62</v>
      </c>
      <c r="V192" s="144"/>
      <c r="W192" s="144"/>
      <c r="X192" s="144"/>
      <c r="Y192" s="144"/>
      <c r="Z192" s="144"/>
      <c r="AA192" s="144"/>
      <c r="AB192" s="144"/>
    </row>
    <row r="193" spans="1:41" x14ac:dyDescent="0.2">
      <c r="A193" s="117"/>
      <c r="B193" s="117"/>
      <c r="C193" s="117"/>
      <c r="D193" s="117"/>
      <c r="E193" s="117"/>
      <c r="F193" s="117"/>
      <c r="G193" s="187"/>
      <c r="I193" s="144"/>
      <c r="J193" s="144"/>
      <c r="K193" s="144"/>
      <c r="L193" s="144"/>
      <c r="M193" s="144"/>
      <c r="N193" s="144"/>
      <c r="O193" s="148"/>
      <c r="P193" s="195"/>
      <c r="Q193" s="195"/>
      <c r="R193" s="144"/>
      <c r="S193" s="144"/>
      <c r="T193" s="144"/>
      <c r="U193" s="179">
        <v>0.63</v>
      </c>
      <c r="V193" s="144"/>
      <c r="W193" s="144"/>
      <c r="X193" s="144"/>
      <c r="Y193" s="144"/>
      <c r="Z193" s="144"/>
      <c r="AA193" s="144"/>
      <c r="AB193" s="144"/>
    </row>
    <row r="194" spans="1:41" x14ac:dyDescent="0.2">
      <c r="A194" s="117"/>
      <c r="B194" s="117"/>
      <c r="C194" s="117"/>
      <c r="D194" s="117"/>
      <c r="E194" s="117"/>
      <c r="F194" s="117"/>
      <c r="G194" s="187"/>
      <c r="O194" s="148"/>
      <c r="P194" s="195"/>
      <c r="Q194" s="195"/>
      <c r="R194" s="144"/>
      <c r="S194" s="144"/>
      <c r="T194" s="144"/>
      <c r="U194" s="179">
        <v>0.64</v>
      </c>
      <c r="V194" s="144"/>
      <c r="W194" s="144"/>
      <c r="X194" s="144"/>
      <c r="Y194" s="144"/>
      <c r="Z194" s="144"/>
      <c r="AA194" s="144"/>
    </row>
    <row r="195" spans="1:41" x14ac:dyDescent="0.2">
      <c r="A195" s="117"/>
      <c r="B195" s="117"/>
      <c r="C195" s="117"/>
      <c r="D195" s="117"/>
      <c r="E195" s="117"/>
      <c r="F195" s="117"/>
      <c r="G195" s="187"/>
      <c r="O195" s="148"/>
      <c r="P195" s="195"/>
      <c r="Q195" s="195"/>
      <c r="R195" s="144"/>
      <c r="S195" s="144"/>
      <c r="T195" s="144"/>
      <c r="U195" s="179">
        <v>0.65</v>
      </c>
      <c r="V195" s="144"/>
      <c r="W195" s="144"/>
      <c r="X195" s="144"/>
      <c r="Y195" s="144"/>
      <c r="Z195" s="144"/>
      <c r="AA195" s="144"/>
    </row>
    <row r="196" spans="1:41" x14ac:dyDescent="0.2">
      <c r="A196" s="117"/>
      <c r="B196" s="117"/>
      <c r="C196" s="117"/>
      <c r="D196" s="117"/>
      <c r="E196" s="117"/>
      <c r="F196" s="117"/>
      <c r="G196" s="187"/>
      <c r="O196" s="148"/>
      <c r="P196" s="195"/>
      <c r="Q196" s="195"/>
      <c r="R196" s="144"/>
      <c r="S196" s="144"/>
      <c r="T196" s="144"/>
      <c r="U196" s="179">
        <v>0.66</v>
      </c>
      <c r="V196" s="144"/>
      <c r="W196" s="144"/>
      <c r="X196" s="144"/>
      <c r="Y196" s="144"/>
      <c r="Z196" s="144"/>
      <c r="AA196" s="144"/>
    </row>
    <row r="197" spans="1:41" x14ac:dyDescent="0.2">
      <c r="A197" s="117"/>
      <c r="B197" s="117"/>
      <c r="C197" s="117"/>
      <c r="D197" s="117"/>
      <c r="E197" s="117"/>
      <c r="F197" s="117"/>
      <c r="G197" s="187"/>
      <c r="O197" s="148"/>
      <c r="P197" s="195"/>
      <c r="Q197" s="195"/>
      <c r="R197" s="144"/>
      <c r="S197" s="144"/>
      <c r="T197" s="144"/>
      <c r="U197" s="179">
        <v>0.67</v>
      </c>
      <c r="V197" s="144"/>
      <c r="W197" s="144"/>
      <c r="X197" s="144"/>
      <c r="Y197" s="144"/>
      <c r="Z197" s="144"/>
      <c r="AA197" s="144"/>
    </row>
    <row r="198" spans="1:41" x14ac:dyDescent="0.2">
      <c r="A198" s="117"/>
      <c r="B198" s="117"/>
      <c r="C198" s="117"/>
      <c r="D198" s="117"/>
      <c r="E198" s="117"/>
      <c r="F198" s="117"/>
      <c r="G198" s="187"/>
      <c r="O198" s="148"/>
      <c r="P198" s="195"/>
      <c r="Q198" s="195"/>
      <c r="R198" s="144"/>
      <c r="S198" s="144"/>
      <c r="T198" s="144"/>
      <c r="U198" s="179">
        <v>0.68</v>
      </c>
      <c r="V198" s="144"/>
      <c r="W198" s="144"/>
      <c r="X198" s="144"/>
      <c r="Y198" s="144"/>
      <c r="Z198" s="144"/>
      <c r="AA198" s="144"/>
    </row>
    <row r="199" spans="1:41" x14ac:dyDescent="0.2">
      <c r="A199" s="117"/>
      <c r="B199" s="117"/>
      <c r="C199" s="117"/>
      <c r="D199" s="117"/>
      <c r="E199" s="117"/>
      <c r="F199" s="117"/>
      <c r="G199" s="187"/>
      <c r="O199" s="148"/>
      <c r="P199" s="195"/>
      <c r="Q199" s="195"/>
      <c r="R199" s="144"/>
      <c r="S199" s="144"/>
      <c r="T199" s="144"/>
      <c r="U199" s="179">
        <v>0.69</v>
      </c>
      <c r="V199" s="144"/>
      <c r="W199" s="144"/>
      <c r="X199" s="144"/>
      <c r="Y199" s="144"/>
      <c r="Z199" s="144"/>
      <c r="AA199" s="144"/>
    </row>
    <row r="200" spans="1:41" x14ac:dyDescent="0.2">
      <c r="A200" s="117"/>
      <c r="B200" s="117"/>
      <c r="C200" s="117"/>
      <c r="D200" s="117"/>
      <c r="E200" s="117"/>
      <c r="F200" s="117"/>
      <c r="G200" s="187"/>
      <c r="O200" s="148"/>
      <c r="P200" s="195"/>
      <c r="Q200" s="195"/>
      <c r="R200" s="144"/>
      <c r="S200" s="144"/>
      <c r="T200" s="144"/>
      <c r="U200" s="179">
        <v>0.7</v>
      </c>
      <c r="V200" s="144"/>
      <c r="W200" s="144"/>
      <c r="X200" s="144"/>
      <c r="Y200" s="144"/>
      <c r="Z200" s="144"/>
      <c r="AA200" s="144"/>
    </row>
    <row r="201" spans="1:41" s="149" customFormat="1" x14ac:dyDescent="0.2">
      <c r="A201" s="117"/>
      <c r="B201" s="117"/>
      <c r="C201" s="117"/>
      <c r="D201" s="117"/>
      <c r="E201" s="117"/>
      <c r="F201" s="117"/>
      <c r="G201" s="187"/>
      <c r="H201" s="144"/>
      <c r="O201" s="148"/>
      <c r="P201" s="195"/>
      <c r="Q201" s="195"/>
      <c r="R201" s="144"/>
      <c r="S201" s="144"/>
      <c r="T201" s="144"/>
      <c r="U201" s="179">
        <v>0.71</v>
      </c>
      <c r="V201" s="144"/>
      <c r="W201" s="144"/>
      <c r="X201" s="144"/>
      <c r="Y201" s="144"/>
      <c r="Z201" s="144"/>
      <c r="AA201" s="144"/>
      <c r="AC201" s="144"/>
      <c r="AD201" s="146"/>
      <c r="AE201" s="144"/>
      <c r="AF201" s="144"/>
      <c r="AG201" s="144"/>
      <c r="AH201" s="144"/>
      <c r="AI201" s="144"/>
      <c r="AJ201" s="144"/>
      <c r="AK201" s="144"/>
      <c r="AL201" s="144"/>
      <c r="AM201" s="144"/>
      <c r="AN201" s="144"/>
      <c r="AO201" s="147"/>
    </row>
    <row r="202" spans="1:41" s="149" customFormat="1" x14ac:dyDescent="0.2">
      <c r="A202" s="117"/>
      <c r="B202" s="117"/>
      <c r="C202" s="117"/>
      <c r="D202" s="117"/>
      <c r="E202" s="117"/>
      <c r="F202" s="117"/>
      <c r="G202" s="187"/>
      <c r="H202" s="144"/>
      <c r="O202" s="196"/>
      <c r="P202" s="195"/>
      <c r="Q202" s="195"/>
      <c r="R202" s="144"/>
      <c r="S202" s="144"/>
      <c r="T202" s="144"/>
      <c r="U202" s="179">
        <v>0.72</v>
      </c>
      <c r="V202" s="144"/>
      <c r="W202" s="144"/>
      <c r="X202" s="144"/>
      <c r="Y202" s="144"/>
      <c r="Z202" s="144"/>
      <c r="AA202" s="144"/>
      <c r="AC202" s="144"/>
      <c r="AD202" s="146"/>
      <c r="AE202" s="144"/>
      <c r="AF202" s="144"/>
      <c r="AG202" s="144"/>
      <c r="AH202" s="144"/>
      <c r="AI202" s="144"/>
      <c r="AJ202" s="144"/>
      <c r="AK202" s="144"/>
      <c r="AL202" s="144"/>
      <c r="AM202" s="144"/>
      <c r="AN202" s="144"/>
      <c r="AO202" s="147"/>
    </row>
    <row r="203" spans="1:41" s="149" customFormat="1" x14ac:dyDescent="0.2">
      <c r="A203" s="117"/>
      <c r="B203" s="117"/>
      <c r="C203" s="117"/>
      <c r="D203" s="117"/>
      <c r="E203" s="117"/>
      <c r="F203" s="117"/>
      <c r="G203" s="187"/>
      <c r="H203" s="144"/>
      <c r="O203" s="196"/>
      <c r="P203" s="195"/>
      <c r="Q203" s="195"/>
      <c r="R203" s="144"/>
      <c r="S203" s="144"/>
      <c r="T203" s="144"/>
      <c r="U203" s="179">
        <v>0.73</v>
      </c>
      <c r="V203" s="144"/>
      <c r="W203" s="144"/>
      <c r="X203" s="144"/>
      <c r="Y203" s="144"/>
      <c r="Z203" s="144"/>
      <c r="AA203" s="144"/>
      <c r="AC203" s="144"/>
      <c r="AD203" s="146"/>
      <c r="AE203" s="144"/>
      <c r="AF203" s="144"/>
      <c r="AG203" s="144"/>
      <c r="AH203" s="144"/>
      <c r="AI203" s="144"/>
      <c r="AJ203" s="144"/>
      <c r="AK203" s="144"/>
      <c r="AL203" s="144"/>
      <c r="AM203" s="144"/>
      <c r="AN203" s="144"/>
      <c r="AO203" s="147"/>
    </row>
    <row r="204" spans="1:41" s="149" customFormat="1" x14ac:dyDescent="0.2">
      <c r="A204" s="117"/>
      <c r="B204" s="117"/>
      <c r="C204" s="117"/>
      <c r="D204" s="117"/>
      <c r="E204" s="117"/>
      <c r="F204" s="117"/>
      <c r="G204" s="187"/>
      <c r="H204" s="144"/>
      <c r="O204" s="196"/>
      <c r="P204" s="195"/>
      <c r="Q204" s="195"/>
      <c r="R204" s="144"/>
      <c r="S204" s="144"/>
      <c r="T204" s="144"/>
      <c r="U204" s="179">
        <v>0.74</v>
      </c>
      <c r="V204" s="144"/>
      <c r="W204" s="144"/>
      <c r="X204" s="144"/>
      <c r="Y204" s="144"/>
      <c r="Z204" s="144"/>
      <c r="AA204" s="144"/>
      <c r="AC204" s="144"/>
      <c r="AD204" s="146"/>
      <c r="AE204" s="144"/>
      <c r="AF204" s="144"/>
      <c r="AG204" s="144"/>
      <c r="AH204" s="144"/>
      <c r="AI204" s="144"/>
      <c r="AJ204" s="144"/>
      <c r="AK204" s="144"/>
      <c r="AL204" s="144"/>
      <c r="AM204" s="144"/>
      <c r="AN204" s="144"/>
      <c r="AO204" s="147"/>
    </row>
    <row r="205" spans="1:41" s="149" customFormat="1" x14ac:dyDescent="0.2">
      <c r="A205" s="117"/>
      <c r="B205" s="117"/>
      <c r="C205" s="117"/>
      <c r="D205" s="117"/>
      <c r="E205" s="117"/>
      <c r="F205" s="117"/>
      <c r="G205" s="187"/>
      <c r="H205" s="144"/>
      <c r="O205" s="196"/>
      <c r="P205" s="195"/>
      <c r="Q205" s="195"/>
      <c r="R205" s="144"/>
      <c r="S205" s="144"/>
      <c r="T205" s="144"/>
      <c r="U205" s="179">
        <v>0.75</v>
      </c>
      <c r="V205" s="144"/>
      <c r="W205" s="144"/>
      <c r="X205" s="144"/>
      <c r="Y205" s="144"/>
      <c r="Z205" s="144"/>
      <c r="AA205" s="144"/>
      <c r="AC205" s="144"/>
      <c r="AD205" s="146"/>
      <c r="AE205" s="144"/>
      <c r="AF205" s="144"/>
      <c r="AG205" s="144"/>
      <c r="AH205" s="144"/>
      <c r="AI205" s="144"/>
      <c r="AJ205" s="144"/>
      <c r="AK205" s="144"/>
      <c r="AL205" s="144"/>
      <c r="AM205" s="144"/>
      <c r="AN205" s="144"/>
      <c r="AO205" s="147"/>
    </row>
    <row r="206" spans="1:41" s="149" customFormat="1" x14ac:dyDescent="0.2">
      <c r="A206" s="117"/>
      <c r="B206" s="117"/>
      <c r="C206" s="117"/>
      <c r="D206" s="117"/>
      <c r="E206" s="117"/>
      <c r="F206" s="117"/>
      <c r="G206" s="187"/>
      <c r="H206" s="144"/>
      <c r="O206" s="196"/>
      <c r="P206" s="195"/>
      <c r="Q206" s="195"/>
      <c r="R206" s="144"/>
      <c r="S206" s="144"/>
      <c r="T206" s="144"/>
      <c r="U206" s="179">
        <v>0.76</v>
      </c>
      <c r="V206" s="144"/>
      <c r="W206" s="144"/>
      <c r="X206" s="144"/>
      <c r="Y206" s="144"/>
      <c r="Z206" s="144"/>
      <c r="AA206" s="144"/>
      <c r="AC206" s="144"/>
      <c r="AD206" s="146"/>
      <c r="AE206" s="144"/>
      <c r="AF206" s="144"/>
      <c r="AG206" s="144"/>
      <c r="AH206" s="144"/>
      <c r="AI206" s="144"/>
      <c r="AJ206" s="144"/>
      <c r="AK206" s="144"/>
      <c r="AL206" s="144"/>
      <c r="AM206" s="144"/>
      <c r="AN206" s="144"/>
      <c r="AO206" s="147"/>
    </row>
    <row r="207" spans="1:41" s="149" customFormat="1" x14ac:dyDescent="0.2">
      <c r="A207" s="117"/>
      <c r="B207" s="117"/>
      <c r="C207" s="117"/>
      <c r="D207" s="117"/>
      <c r="E207" s="117"/>
      <c r="F207" s="117"/>
      <c r="G207" s="187"/>
      <c r="H207" s="144"/>
      <c r="O207" s="196"/>
      <c r="P207" s="144"/>
      <c r="Q207" s="144"/>
      <c r="R207" s="144"/>
      <c r="S207" s="144"/>
      <c r="T207" s="144"/>
      <c r="U207" s="179">
        <v>0.77</v>
      </c>
      <c r="V207" s="144"/>
      <c r="W207" s="144"/>
      <c r="X207" s="144"/>
      <c r="Y207" s="144"/>
      <c r="Z207" s="144"/>
      <c r="AA207" s="144"/>
      <c r="AC207" s="144"/>
      <c r="AD207" s="146"/>
      <c r="AE207" s="144"/>
      <c r="AF207" s="144"/>
      <c r="AG207" s="144"/>
      <c r="AH207" s="144"/>
      <c r="AI207" s="144"/>
      <c r="AJ207" s="144"/>
      <c r="AK207" s="144"/>
      <c r="AL207" s="144"/>
      <c r="AM207" s="144"/>
      <c r="AN207" s="144"/>
      <c r="AO207" s="147"/>
    </row>
    <row r="208" spans="1:41" s="149" customFormat="1" x14ac:dyDescent="0.2">
      <c r="A208" s="117"/>
      <c r="B208" s="117"/>
      <c r="C208" s="117"/>
      <c r="D208" s="117"/>
      <c r="E208" s="117"/>
      <c r="F208" s="117"/>
      <c r="G208" s="187"/>
      <c r="H208" s="144"/>
      <c r="O208" s="196"/>
      <c r="P208" s="144"/>
      <c r="Q208" s="144"/>
      <c r="R208" s="144"/>
      <c r="S208" s="144"/>
      <c r="T208" s="144"/>
      <c r="U208" s="179">
        <v>0.78</v>
      </c>
      <c r="V208" s="144"/>
      <c r="W208" s="144"/>
      <c r="X208" s="144"/>
      <c r="Y208" s="144"/>
      <c r="Z208" s="144"/>
      <c r="AA208" s="144"/>
      <c r="AC208" s="144"/>
      <c r="AD208" s="146"/>
      <c r="AE208" s="144"/>
      <c r="AF208" s="144"/>
      <c r="AG208" s="144"/>
      <c r="AH208" s="144"/>
      <c r="AI208" s="144"/>
      <c r="AJ208" s="144"/>
      <c r="AK208" s="144"/>
      <c r="AL208" s="144"/>
      <c r="AM208" s="144"/>
      <c r="AN208" s="144"/>
      <c r="AO208" s="147"/>
    </row>
    <row r="209" spans="1:41" s="149" customFormat="1" x14ac:dyDescent="0.2">
      <c r="A209" s="117"/>
      <c r="B209" s="117"/>
      <c r="C209" s="117"/>
      <c r="D209" s="117"/>
      <c r="E209" s="117"/>
      <c r="F209" s="117"/>
      <c r="G209" s="187"/>
      <c r="H209" s="144"/>
      <c r="O209" s="146"/>
      <c r="P209" s="144"/>
      <c r="Q209" s="144"/>
      <c r="R209" s="144"/>
      <c r="S209" s="144"/>
      <c r="T209" s="144"/>
      <c r="U209" s="179">
        <v>0.79</v>
      </c>
      <c r="V209" s="144"/>
      <c r="W209" s="144"/>
      <c r="X209" s="144"/>
      <c r="Y209" s="144"/>
      <c r="Z209" s="144"/>
      <c r="AA209" s="144"/>
      <c r="AC209" s="144"/>
      <c r="AD209" s="146"/>
      <c r="AE209" s="144"/>
      <c r="AF209" s="144"/>
      <c r="AG209" s="144"/>
      <c r="AH209" s="144"/>
      <c r="AI209" s="144"/>
      <c r="AJ209" s="144"/>
      <c r="AK209" s="144"/>
      <c r="AL209" s="144"/>
      <c r="AM209" s="144"/>
      <c r="AN209" s="144"/>
      <c r="AO209" s="147"/>
    </row>
    <row r="210" spans="1:41" s="149" customFormat="1" x14ac:dyDescent="0.2">
      <c r="A210" s="117"/>
      <c r="B210" s="117"/>
      <c r="C210" s="117"/>
      <c r="D210" s="117"/>
      <c r="E210" s="117"/>
      <c r="F210" s="117"/>
      <c r="G210" s="187"/>
      <c r="H210" s="144"/>
      <c r="O210" s="146"/>
      <c r="P210" s="144"/>
      <c r="Q210" s="144"/>
      <c r="R210" s="144"/>
      <c r="S210" s="144"/>
      <c r="T210" s="144"/>
      <c r="U210" s="179">
        <v>0.8</v>
      </c>
      <c r="V210" s="144"/>
      <c r="W210" s="144"/>
      <c r="X210" s="144"/>
      <c r="Y210" s="144"/>
      <c r="Z210" s="144"/>
      <c r="AA210" s="144"/>
      <c r="AC210" s="144"/>
      <c r="AD210" s="146"/>
      <c r="AE210" s="144"/>
      <c r="AF210" s="144"/>
      <c r="AG210" s="144"/>
      <c r="AH210" s="144"/>
      <c r="AI210" s="144"/>
      <c r="AJ210" s="144"/>
      <c r="AK210" s="144"/>
      <c r="AL210" s="144"/>
      <c r="AM210" s="144"/>
      <c r="AN210" s="144"/>
      <c r="AO210" s="147"/>
    </row>
    <row r="211" spans="1:41" s="149" customFormat="1" x14ac:dyDescent="0.2">
      <c r="A211" s="117"/>
      <c r="B211" s="117"/>
      <c r="C211" s="117"/>
      <c r="D211" s="117"/>
      <c r="E211" s="117"/>
      <c r="F211" s="117"/>
      <c r="G211" s="187"/>
      <c r="H211" s="144"/>
      <c r="O211" s="146"/>
      <c r="P211" s="144"/>
      <c r="Q211" s="144"/>
      <c r="R211" s="144"/>
      <c r="S211" s="144"/>
      <c r="T211" s="144"/>
      <c r="U211" s="179">
        <v>0.81</v>
      </c>
      <c r="V211" s="144"/>
      <c r="W211" s="144"/>
      <c r="X211" s="144"/>
      <c r="Y211" s="144"/>
      <c r="Z211" s="144"/>
      <c r="AA211" s="144"/>
      <c r="AC211" s="144"/>
      <c r="AD211" s="146"/>
      <c r="AE211" s="144"/>
      <c r="AF211" s="144"/>
      <c r="AG211" s="144"/>
      <c r="AH211" s="144"/>
      <c r="AI211" s="144"/>
      <c r="AJ211" s="144"/>
      <c r="AK211" s="144"/>
      <c r="AL211" s="144"/>
      <c r="AM211" s="144"/>
      <c r="AN211" s="144"/>
      <c r="AO211" s="147"/>
    </row>
    <row r="212" spans="1:41" s="149" customFormat="1" x14ac:dyDescent="0.2">
      <c r="A212" s="117"/>
      <c r="B212" s="117"/>
      <c r="C212" s="117"/>
      <c r="D212" s="117"/>
      <c r="E212" s="117"/>
      <c r="F212" s="117"/>
      <c r="G212" s="187"/>
      <c r="H212" s="144"/>
      <c r="O212" s="146"/>
      <c r="P212" s="144"/>
      <c r="Q212" s="144"/>
      <c r="R212" s="144"/>
      <c r="S212" s="144"/>
      <c r="T212" s="144"/>
      <c r="U212" s="179">
        <v>0.82</v>
      </c>
      <c r="V212" s="144"/>
      <c r="W212" s="144"/>
      <c r="X212" s="144"/>
      <c r="Y212" s="144"/>
      <c r="Z212" s="144"/>
      <c r="AA212" s="144"/>
      <c r="AC212" s="144"/>
      <c r="AD212" s="146"/>
      <c r="AE212" s="144"/>
      <c r="AF212" s="144"/>
      <c r="AG212" s="144"/>
      <c r="AH212" s="144"/>
      <c r="AI212" s="144"/>
      <c r="AJ212" s="144"/>
      <c r="AK212" s="144"/>
      <c r="AL212" s="144"/>
      <c r="AM212" s="144"/>
      <c r="AN212" s="144"/>
      <c r="AO212" s="147"/>
    </row>
    <row r="213" spans="1:41" s="149" customFormat="1" x14ac:dyDescent="0.2">
      <c r="A213" s="117"/>
      <c r="B213" s="117"/>
      <c r="C213" s="117"/>
      <c r="D213" s="117"/>
      <c r="E213" s="117"/>
      <c r="F213" s="117"/>
      <c r="G213" s="187"/>
      <c r="H213" s="144"/>
      <c r="O213" s="146"/>
      <c r="P213" s="144"/>
      <c r="Q213" s="144"/>
      <c r="R213" s="144"/>
      <c r="S213" s="144"/>
      <c r="T213" s="144"/>
      <c r="U213" s="179">
        <v>0.83</v>
      </c>
      <c r="V213" s="144"/>
      <c r="W213" s="144"/>
      <c r="X213" s="144"/>
      <c r="Y213" s="144"/>
      <c r="Z213" s="144"/>
      <c r="AA213" s="144"/>
      <c r="AC213" s="144"/>
      <c r="AD213" s="146"/>
      <c r="AE213" s="144"/>
      <c r="AF213" s="144"/>
      <c r="AG213" s="144"/>
      <c r="AH213" s="144"/>
      <c r="AI213" s="144"/>
      <c r="AJ213" s="144"/>
      <c r="AK213" s="144"/>
      <c r="AL213" s="144"/>
      <c r="AM213" s="144"/>
      <c r="AN213" s="144"/>
      <c r="AO213" s="147"/>
    </row>
    <row r="214" spans="1:41" s="149" customFormat="1" x14ac:dyDescent="0.2">
      <c r="A214" s="117"/>
      <c r="B214" s="117"/>
      <c r="C214" s="117"/>
      <c r="D214" s="117"/>
      <c r="E214" s="117"/>
      <c r="F214" s="117"/>
      <c r="G214" s="187"/>
      <c r="H214" s="144"/>
      <c r="O214" s="146"/>
      <c r="P214" s="144"/>
      <c r="Q214" s="144"/>
      <c r="R214" s="144"/>
      <c r="S214" s="144"/>
      <c r="T214" s="144"/>
      <c r="U214" s="179">
        <v>0.84</v>
      </c>
      <c r="V214" s="144"/>
      <c r="W214" s="144"/>
      <c r="X214" s="144"/>
      <c r="Y214" s="144"/>
      <c r="Z214" s="144"/>
      <c r="AA214" s="144"/>
      <c r="AC214" s="144"/>
      <c r="AD214" s="146"/>
      <c r="AE214" s="144"/>
      <c r="AF214" s="144"/>
      <c r="AG214" s="144"/>
      <c r="AH214" s="144"/>
      <c r="AI214" s="144"/>
      <c r="AJ214" s="144"/>
      <c r="AK214" s="144"/>
      <c r="AL214" s="144"/>
      <c r="AM214" s="144"/>
      <c r="AN214" s="144"/>
      <c r="AO214" s="147"/>
    </row>
    <row r="215" spans="1:41" s="149" customFormat="1" x14ac:dyDescent="0.2">
      <c r="A215" s="117"/>
      <c r="B215" s="117"/>
      <c r="C215" s="117"/>
      <c r="D215" s="117"/>
      <c r="E215" s="117"/>
      <c r="F215" s="117"/>
      <c r="G215" s="187"/>
      <c r="H215" s="144"/>
      <c r="O215" s="146"/>
      <c r="P215" s="144"/>
      <c r="Q215" s="144"/>
      <c r="R215" s="144"/>
      <c r="S215" s="144"/>
      <c r="T215" s="144"/>
      <c r="U215" s="179">
        <v>0.85</v>
      </c>
      <c r="V215" s="144"/>
      <c r="W215" s="144"/>
      <c r="X215" s="144"/>
      <c r="Y215" s="144"/>
      <c r="Z215" s="144"/>
      <c r="AA215" s="144"/>
      <c r="AC215" s="144"/>
      <c r="AD215" s="146"/>
      <c r="AE215" s="144"/>
      <c r="AF215" s="144"/>
      <c r="AG215" s="144"/>
      <c r="AH215" s="144"/>
      <c r="AI215" s="144"/>
      <c r="AJ215" s="144"/>
      <c r="AK215" s="144"/>
      <c r="AL215" s="144"/>
      <c r="AM215" s="144"/>
      <c r="AN215" s="144"/>
      <c r="AO215" s="147"/>
    </row>
    <row r="216" spans="1:41" s="149" customFormat="1" x14ac:dyDescent="0.2">
      <c r="A216" s="117"/>
      <c r="B216" s="117"/>
      <c r="C216" s="117"/>
      <c r="D216" s="117"/>
      <c r="E216" s="117"/>
      <c r="F216" s="117"/>
      <c r="G216" s="187"/>
      <c r="H216" s="144"/>
      <c r="O216" s="146"/>
      <c r="P216" s="144"/>
      <c r="Q216" s="144"/>
      <c r="R216" s="144"/>
      <c r="S216" s="144"/>
      <c r="T216" s="144"/>
      <c r="U216" s="179">
        <v>0.86</v>
      </c>
      <c r="V216" s="144"/>
      <c r="W216" s="144"/>
      <c r="X216" s="144"/>
      <c r="Y216" s="144"/>
      <c r="Z216" s="144"/>
      <c r="AA216" s="144"/>
      <c r="AC216" s="144"/>
      <c r="AD216" s="146"/>
      <c r="AE216" s="144"/>
      <c r="AF216" s="144"/>
      <c r="AG216" s="144"/>
      <c r="AH216" s="144"/>
      <c r="AI216" s="144"/>
      <c r="AJ216" s="144"/>
      <c r="AK216" s="144"/>
      <c r="AL216" s="144"/>
      <c r="AM216" s="144"/>
      <c r="AN216" s="144"/>
      <c r="AO216" s="147"/>
    </row>
    <row r="217" spans="1:41" s="149" customFormat="1" x14ac:dyDescent="0.2">
      <c r="A217" s="117"/>
      <c r="B217" s="117"/>
      <c r="C217" s="117"/>
      <c r="D217" s="117"/>
      <c r="E217" s="117"/>
      <c r="F217" s="117"/>
      <c r="G217" s="187"/>
      <c r="H217" s="144"/>
      <c r="O217" s="146"/>
      <c r="P217" s="144"/>
      <c r="Q217" s="144"/>
      <c r="R217" s="144"/>
      <c r="S217" s="144"/>
      <c r="T217" s="144"/>
      <c r="U217" s="179">
        <v>0.87</v>
      </c>
      <c r="V217" s="144"/>
      <c r="W217" s="144"/>
      <c r="X217" s="144"/>
      <c r="Y217" s="144"/>
      <c r="Z217" s="144"/>
      <c r="AA217" s="144"/>
      <c r="AC217" s="144"/>
      <c r="AD217" s="146"/>
      <c r="AE217" s="144"/>
      <c r="AF217" s="144"/>
      <c r="AG217" s="144"/>
      <c r="AH217" s="144"/>
      <c r="AI217" s="144"/>
      <c r="AJ217" s="144"/>
      <c r="AK217" s="144"/>
      <c r="AL217" s="144"/>
      <c r="AM217" s="144"/>
      <c r="AN217" s="144"/>
      <c r="AO217" s="147"/>
    </row>
    <row r="218" spans="1:41" s="149" customFormat="1" x14ac:dyDescent="0.2">
      <c r="A218" s="117"/>
      <c r="B218" s="117"/>
      <c r="C218" s="117"/>
      <c r="D218" s="117"/>
      <c r="E218" s="117"/>
      <c r="F218" s="117"/>
      <c r="G218" s="187"/>
      <c r="H218" s="144"/>
      <c r="O218" s="146"/>
      <c r="P218" s="144"/>
      <c r="Q218" s="144"/>
      <c r="R218" s="144"/>
      <c r="S218" s="144"/>
      <c r="T218" s="144"/>
      <c r="U218" s="179">
        <v>0.88</v>
      </c>
      <c r="V218" s="144"/>
      <c r="W218" s="144"/>
      <c r="X218" s="144"/>
      <c r="Y218" s="144"/>
      <c r="Z218" s="144"/>
      <c r="AA218" s="144"/>
      <c r="AC218" s="144"/>
      <c r="AD218" s="146"/>
      <c r="AE218" s="144"/>
      <c r="AF218" s="144"/>
      <c r="AG218" s="144"/>
      <c r="AH218" s="144"/>
      <c r="AI218" s="144"/>
      <c r="AJ218" s="144"/>
      <c r="AK218" s="144"/>
      <c r="AL218" s="144"/>
      <c r="AM218" s="144"/>
      <c r="AN218" s="144"/>
      <c r="AO218" s="147"/>
    </row>
    <row r="219" spans="1:41" s="149" customFormat="1" x14ac:dyDescent="0.2">
      <c r="A219" s="117"/>
      <c r="B219" s="117"/>
      <c r="C219" s="117"/>
      <c r="D219" s="117"/>
      <c r="E219" s="117"/>
      <c r="F219" s="117"/>
      <c r="G219" s="187"/>
      <c r="H219" s="144"/>
      <c r="O219" s="146"/>
      <c r="P219" s="144"/>
      <c r="Q219" s="144"/>
      <c r="R219" s="144"/>
      <c r="S219" s="144"/>
      <c r="T219" s="144"/>
      <c r="U219" s="179">
        <v>0.89</v>
      </c>
      <c r="V219" s="144"/>
      <c r="W219" s="144"/>
      <c r="X219" s="144"/>
      <c r="Y219" s="144"/>
      <c r="Z219" s="144"/>
      <c r="AA219" s="144"/>
      <c r="AC219" s="144"/>
      <c r="AD219" s="146"/>
      <c r="AE219" s="144"/>
      <c r="AF219" s="144"/>
      <c r="AG219" s="144"/>
      <c r="AH219" s="144"/>
      <c r="AI219" s="144"/>
      <c r="AJ219" s="144"/>
      <c r="AK219" s="144"/>
      <c r="AL219" s="144"/>
      <c r="AM219" s="144"/>
      <c r="AN219" s="144"/>
      <c r="AO219" s="147"/>
    </row>
    <row r="220" spans="1:41" s="149" customFormat="1" x14ac:dyDescent="0.2">
      <c r="A220" s="117"/>
      <c r="B220" s="117"/>
      <c r="C220" s="117"/>
      <c r="D220" s="117"/>
      <c r="E220" s="117"/>
      <c r="F220" s="117"/>
      <c r="G220" s="187"/>
      <c r="H220" s="144"/>
      <c r="O220" s="146"/>
      <c r="P220" s="144"/>
      <c r="Q220" s="144"/>
      <c r="R220" s="144"/>
      <c r="S220" s="144"/>
      <c r="T220" s="144"/>
      <c r="U220" s="179">
        <v>0.9</v>
      </c>
      <c r="V220" s="144"/>
      <c r="W220" s="144"/>
      <c r="X220" s="144"/>
      <c r="Y220" s="144"/>
      <c r="Z220" s="144"/>
      <c r="AA220" s="144"/>
      <c r="AC220" s="144"/>
      <c r="AD220" s="146"/>
      <c r="AE220" s="144"/>
      <c r="AF220" s="144"/>
      <c r="AG220" s="144"/>
      <c r="AH220" s="144"/>
      <c r="AI220" s="144"/>
      <c r="AJ220" s="144"/>
      <c r="AK220" s="144"/>
      <c r="AL220" s="144"/>
      <c r="AM220" s="144"/>
      <c r="AN220" s="144"/>
      <c r="AO220" s="147"/>
    </row>
    <row r="221" spans="1:41" s="149" customFormat="1" x14ac:dyDescent="0.2">
      <c r="A221" s="117"/>
      <c r="B221" s="117"/>
      <c r="C221" s="117"/>
      <c r="D221" s="117"/>
      <c r="E221" s="117"/>
      <c r="F221" s="117"/>
      <c r="G221" s="187"/>
      <c r="H221" s="144"/>
      <c r="O221" s="146"/>
      <c r="P221" s="144"/>
      <c r="Q221" s="144"/>
      <c r="R221" s="144"/>
      <c r="S221" s="144"/>
      <c r="T221" s="144"/>
      <c r="U221" s="179">
        <v>0.91</v>
      </c>
      <c r="V221" s="144"/>
      <c r="W221" s="144"/>
      <c r="X221" s="144"/>
      <c r="Y221" s="144"/>
      <c r="Z221" s="144"/>
      <c r="AA221" s="144"/>
      <c r="AC221" s="144"/>
      <c r="AD221" s="146"/>
      <c r="AE221" s="144"/>
      <c r="AF221" s="144"/>
      <c r="AG221" s="144"/>
      <c r="AH221" s="144"/>
      <c r="AI221" s="144"/>
      <c r="AJ221" s="144"/>
      <c r="AK221" s="144"/>
      <c r="AL221" s="144"/>
      <c r="AM221" s="144"/>
      <c r="AN221" s="144"/>
      <c r="AO221" s="147"/>
    </row>
    <row r="222" spans="1:41" s="149" customFormat="1" x14ac:dyDescent="0.2">
      <c r="A222" s="117"/>
      <c r="B222" s="117"/>
      <c r="C222" s="117"/>
      <c r="D222" s="117"/>
      <c r="E222" s="117"/>
      <c r="F222" s="117"/>
      <c r="G222" s="187"/>
      <c r="H222" s="144"/>
      <c r="O222" s="146"/>
      <c r="P222" s="144"/>
      <c r="Q222" s="144"/>
      <c r="R222" s="144"/>
      <c r="S222" s="144"/>
      <c r="T222" s="144"/>
      <c r="U222" s="179">
        <v>0.92</v>
      </c>
      <c r="V222" s="144"/>
      <c r="W222" s="144"/>
      <c r="X222" s="144"/>
      <c r="Y222" s="144"/>
      <c r="Z222" s="144"/>
      <c r="AA222" s="144"/>
      <c r="AC222" s="144"/>
      <c r="AD222" s="146"/>
      <c r="AE222" s="144"/>
      <c r="AF222" s="144"/>
      <c r="AG222" s="144"/>
      <c r="AH222" s="144"/>
      <c r="AI222" s="144"/>
      <c r="AJ222" s="144"/>
      <c r="AK222" s="144"/>
      <c r="AL222" s="144"/>
      <c r="AM222" s="144"/>
      <c r="AN222" s="144"/>
      <c r="AO222" s="147"/>
    </row>
    <row r="223" spans="1:41" s="149" customFormat="1" x14ac:dyDescent="0.2">
      <c r="A223" s="117"/>
      <c r="B223" s="117"/>
      <c r="C223" s="117"/>
      <c r="D223" s="117"/>
      <c r="E223" s="117"/>
      <c r="F223" s="117"/>
      <c r="G223" s="187"/>
      <c r="H223" s="144"/>
      <c r="O223" s="146"/>
      <c r="P223" s="144"/>
      <c r="Q223" s="144"/>
      <c r="R223" s="144"/>
      <c r="S223" s="144"/>
      <c r="T223" s="144"/>
      <c r="U223" s="179">
        <v>0.93</v>
      </c>
      <c r="V223" s="144"/>
      <c r="W223" s="144"/>
      <c r="X223" s="144"/>
      <c r="Y223" s="144"/>
      <c r="Z223" s="144"/>
      <c r="AA223" s="144"/>
      <c r="AC223" s="144"/>
      <c r="AD223" s="146"/>
      <c r="AE223" s="144"/>
      <c r="AF223" s="144"/>
      <c r="AG223" s="144"/>
      <c r="AH223" s="144"/>
      <c r="AI223" s="144"/>
      <c r="AJ223" s="144"/>
      <c r="AK223" s="144"/>
      <c r="AL223" s="144"/>
      <c r="AM223" s="144"/>
      <c r="AN223" s="144"/>
      <c r="AO223" s="147"/>
    </row>
    <row r="224" spans="1:41" s="149" customFormat="1" x14ac:dyDescent="0.2">
      <c r="A224" s="117"/>
      <c r="B224" s="117"/>
      <c r="C224" s="117"/>
      <c r="D224" s="117"/>
      <c r="E224" s="117"/>
      <c r="F224" s="117"/>
      <c r="G224" s="187"/>
      <c r="H224" s="144"/>
      <c r="O224" s="146"/>
      <c r="P224" s="144"/>
      <c r="Q224" s="144"/>
      <c r="R224" s="144"/>
      <c r="S224" s="144"/>
      <c r="T224" s="144"/>
      <c r="U224" s="179">
        <v>0.94</v>
      </c>
      <c r="V224" s="144"/>
      <c r="W224" s="144"/>
      <c r="X224" s="144"/>
      <c r="Y224" s="144"/>
      <c r="Z224" s="144"/>
      <c r="AA224" s="144"/>
      <c r="AC224" s="144"/>
      <c r="AD224" s="146"/>
      <c r="AE224" s="144"/>
      <c r="AF224" s="144"/>
      <c r="AG224" s="144"/>
      <c r="AH224" s="144"/>
      <c r="AI224" s="144"/>
      <c r="AJ224" s="144"/>
      <c r="AK224" s="144"/>
      <c r="AL224" s="144"/>
      <c r="AM224" s="144"/>
      <c r="AN224" s="144"/>
      <c r="AO224" s="147"/>
    </row>
    <row r="225" spans="1:41" s="149" customFormat="1" x14ac:dyDescent="0.2">
      <c r="A225" s="117"/>
      <c r="B225" s="117"/>
      <c r="C225" s="117"/>
      <c r="D225" s="117"/>
      <c r="E225" s="117"/>
      <c r="F225" s="117"/>
      <c r="G225" s="187"/>
      <c r="H225" s="144"/>
      <c r="O225" s="146"/>
      <c r="P225" s="144"/>
      <c r="Q225" s="144"/>
      <c r="R225" s="144"/>
      <c r="S225" s="144"/>
      <c r="T225" s="144"/>
      <c r="U225" s="179">
        <v>0.95</v>
      </c>
      <c r="V225" s="144"/>
      <c r="W225" s="144"/>
      <c r="X225" s="144"/>
      <c r="Y225" s="144"/>
      <c r="Z225" s="144"/>
      <c r="AA225" s="144"/>
      <c r="AC225" s="144"/>
      <c r="AD225" s="146"/>
      <c r="AE225" s="144"/>
      <c r="AF225" s="144"/>
      <c r="AG225" s="144"/>
      <c r="AH225" s="144"/>
      <c r="AI225" s="144"/>
      <c r="AJ225" s="144"/>
      <c r="AK225" s="144"/>
      <c r="AL225" s="144"/>
      <c r="AM225" s="144"/>
      <c r="AN225" s="144"/>
      <c r="AO225" s="147"/>
    </row>
    <row r="226" spans="1:41" s="149" customFormat="1" x14ac:dyDescent="0.2">
      <c r="A226" s="117"/>
      <c r="B226" s="117"/>
      <c r="C226" s="117"/>
      <c r="D226" s="117"/>
      <c r="E226" s="117"/>
      <c r="F226" s="117"/>
      <c r="G226" s="187"/>
      <c r="H226" s="144"/>
      <c r="O226" s="146"/>
      <c r="P226" s="144"/>
      <c r="Q226" s="144"/>
      <c r="R226" s="144"/>
      <c r="S226" s="144"/>
      <c r="T226" s="144"/>
      <c r="U226" s="179">
        <v>0.96</v>
      </c>
      <c r="V226" s="144"/>
      <c r="W226" s="144"/>
      <c r="X226" s="144"/>
      <c r="Y226" s="144"/>
      <c r="Z226" s="144"/>
      <c r="AA226" s="144"/>
      <c r="AC226" s="144"/>
      <c r="AD226" s="146"/>
      <c r="AE226" s="144"/>
      <c r="AF226" s="144"/>
      <c r="AG226" s="144"/>
      <c r="AH226" s="144"/>
      <c r="AI226" s="144"/>
      <c r="AJ226" s="144"/>
      <c r="AK226" s="144"/>
      <c r="AL226" s="144"/>
      <c r="AM226" s="144"/>
      <c r="AN226" s="144"/>
      <c r="AO226" s="147"/>
    </row>
    <row r="227" spans="1:41" s="149" customFormat="1" x14ac:dyDescent="0.2">
      <c r="A227" s="117"/>
      <c r="B227" s="117"/>
      <c r="C227" s="117"/>
      <c r="D227" s="117"/>
      <c r="E227" s="117"/>
      <c r="F227" s="117"/>
      <c r="G227" s="187"/>
      <c r="H227" s="144"/>
      <c r="O227" s="146"/>
      <c r="P227" s="144"/>
      <c r="Q227" s="144"/>
      <c r="R227" s="144"/>
      <c r="S227" s="144"/>
      <c r="T227" s="144"/>
      <c r="U227" s="179">
        <v>0.97</v>
      </c>
      <c r="V227" s="144"/>
      <c r="W227" s="144"/>
      <c r="X227" s="144"/>
      <c r="Y227" s="144"/>
      <c r="Z227" s="144"/>
      <c r="AA227" s="144"/>
      <c r="AC227" s="144"/>
      <c r="AD227" s="146"/>
      <c r="AE227" s="144"/>
      <c r="AF227" s="144"/>
      <c r="AG227" s="144"/>
      <c r="AH227" s="144"/>
      <c r="AI227" s="144"/>
      <c r="AJ227" s="144"/>
      <c r="AK227" s="144"/>
      <c r="AL227" s="144"/>
      <c r="AM227" s="144"/>
      <c r="AN227" s="144"/>
      <c r="AO227" s="147"/>
    </row>
    <row r="228" spans="1:41" s="149" customFormat="1" x14ac:dyDescent="0.2">
      <c r="A228" s="117"/>
      <c r="B228" s="117"/>
      <c r="C228" s="117"/>
      <c r="D228" s="117"/>
      <c r="E228" s="117"/>
      <c r="F228" s="117"/>
      <c r="G228" s="187"/>
      <c r="H228" s="144"/>
      <c r="O228" s="146"/>
      <c r="P228" s="144"/>
      <c r="Q228" s="144"/>
      <c r="R228" s="144"/>
      <c r="S228" s="144"/>
      <c r="T228" s="144"/>
      <c r="U228" s="179">
        <v>0.98</v>
      </c>
      <c r="V228" s="144"/>
      <c r="W228" s="144"/>
      <c r="X228" s="144"/>
      <c r="Y228" s="144"/>
      <c r="Z228" s="144"/>
      <c r="AA228" s="144"/>
      <c r="AC228" s="144"/>
      <c r="AD228" s="146"/>
      <c r="AE228" s="144"/>
      <c r="AF228" s="144"/>
      <c r="AG228" s="144"/>
      <c r="AH228" s="144"/>
      <c r="AI228" s="144"/>
      <c r="AJ228" s="144"/>
      <c r="AK228" s="144"/>
      <c r="AL228" s="144"/>
      <c r="AM228" s="144"/>
      <c r="AN228" s="144"/>
      <c r="AO228" s="147"/>
    </row>
    <row r="229" spans="1:41" s="149" customFormat="1" x14ac:dyDescent="0.2">
      <c r="A229" s="117"/>
      <c r="B229" s="117"/>
      <c r="C229" s="117"/>
      <c r="D229" s="117"/>
      <c r="E229" s="117"/>
      <c r="F229" s="117"/>
      <c r="G229" s="187"/>
      <c r="H229" s="144"/>
      <c r="O229" s="146"/>
      <c r="P229" s="144"/>
      <c r="Q229" s="144"/>
      <c r="R229" s="144"/>
      <c r="S229" s="144"/>
      <c r="T229" s="144"/>
      <c r="U229" s="179">
        <v>0.99</v>
      </c>
      <c r="V229" s="144"/>
      <c r="W229" s="144"/>
      <c r="X229" s="144"/>
      <c r="Y229" s="144"/>
      <c r="Z229" s="144"/>
      <c r="AA229" s="144"/>
      <c r="AC229" s="144"/>
      <c r="AD229" s="146"/>
      <c r="AE229" s="144"/>
      <c r="AF229" s="144"/>
      <c r="AG229" s="144"/>
      <c r="AH229" s="144"/>
      <c r="AI229" s="144"/>
      <c r="AJ229" s="144"/>
      <c r="AK229" s="144"/>
      <c r="AL229" s="144"/>
      <c r="AM229" s="144"/>
      <c r="AN229" s="144"/>
      <c r="AO229" s="147"/>
    </row>
    <row r="230" spans="1:41" s="149" customFormat="1" x14ac:dyDescent="0.2">
      <c r="A230" s="117"/>
      <c r="B230" s="117"/>
      <c r="C230" s="117"/>
      <c r="D230" s="117"/>
      <c r="E230" s="117"/>
      <c r="F230" s="117"/>
      <c r="G230" s="187"/>
      <c r="H230" s="144"/>
      <c r="O230" s="146"/>
      <c r="P230" s="144"/>
      <c r="Q230" s="144"/>
      <c r="R230" s="144"/>
      <c r="S230" s="144"/>
      <c r="T230" s="144"/>
      <c r="U230" s="179">
        <v>1</v>
      </c>
      <c r="V230" s="144"/>
      <c r="W230" s="144"/>
      <c r="X230" s="144"/>
      <c r="Y230" s="144"/>
      <c r="Z230" s="144"/>
      <c r="AA230" s="144"/>
      <c r="AC230" s="144"/>
      <c r="AD230" s="146"/>
      <c r="AE230" s="144"/>
      <c r="AF230" s="144"/>
      <c r="AG230" s="144"/>
      <c r="AH230" s="144"/>
      <c r="AI230" s="144"/>
      <c r="AJ230" s="144"/>
      <c r="AK230" s="144"/>
      <c r="AL230" s="144"/>
      <c r="AM230" s="144"/>
      <c r="AN230" s="144"/>
      <c r="AO230" s="147"/>
    </row>
    <row r="231" spans="1:41" s="149" customFormat="1" x14ac:dyDescent="0.2">
      <c r="A231" s="117"/>
      <c r="B231" s="117"/>
      <c r="C231" s="117"/>
      <c r="D231" s="117"/>
      <c r="E231" s="117"/>
      <c r="F231" s="117"/>
      <c r="G231" s="187"/>
      <c r="H231" s="144"/>
      <c r="O231" s="146"/>
      <c r="P231" s="144"/>
      <c r="Q231" s="144"/>
      <c r="R231" s="144"/>
      <c r="S231" s="144"/>
      <c r="T231" s="144"/>
      <c r="U231" s="144"/>
      <c r="V231" s="144"/>
      <c r="W231" s="144"/>
      <c r="X231" s="144"/>
      <c r="Y231" s="144"/>
      <c r="Z231" s="144"/>
      <c r="AA231" s="144"/>
      <c r="AC231" s="144"/>
      <c r="AD231" s="146"/>
      <c r="AE231" s="144"/>
      <c r="AF231" s="144"/>
      <c r="AG231" s="144"/>
      <c r="AH231" s="144"/>
      <c r="AI231" s="144"/>
      <c r="AJ231" s="144"/>
      <c r="AK231" s="144"/>
      <c r="AL231" s="144"/>
      <c r="AM231" s="144"/>
      <c r="AN231" s="144"/>
      <c r="AO231" s="147"/>
    </row>
    <row r="232" spans="1:41" s="149" customFormat="1" x14ac:dyDescent="0.2">
      <c r="A232" s="117"/>
      <c r="B232" s="117"/>
      <c r="C232" s="117"/>
      <c r="D232" s="117"/>
      <c r="E232" s="117"/>
      <c r="F232" s="117"/>
      <c r="G232" s="187"/>
      <c r="H232" s="144"/>
      <c r="O232" s="146"/>
      <c r="P232" s="144"/>
      <c r="Q232" s="144"/>
      <c r="R232" s="144"/>
      <c r="S232" s="144"/>
      <c r="T232" s="144"/>
      <c r="U232" s="144"/>
      <c r="V232" s="144"/>
      <c r="W232" s="144"/>
      <c r="X232" s="144"/>
      <c r="Y232" s="144"/>
      <c r="Z232" s="144"/>
      <c r="AA232" s="144"/>
      <c r="AC232" s="144"/>
      <c r="AD232" s="146"/>
      <c r="AE232" s="144"/>
      <c r="AF232" s="144"/>
      <c r="AG232" s="144"/>
      <c r="AH232" s="144"/>
      <c r="AI232" s="144"/>
      <c r="AJ232" s="144"/>
      <c r="AK232" s="144"/>
      <c r="AL232" s="144"/>
      <c r="AM232" s="144"/>
      <c r="AN232" s="144"/>
      <c r="AO232" s="147"/>
    </row>
    <row r="233" spans="1:41" s="149" customFormat="1" x14ac:dyDescent="0.2">
      <c r="A233" s="117"/>
      <c r="B233" s="117"/>
      <c r="C233" s="117"/>
      <c r="D233" s="117"/>
      <c r="E233" s="117"/>
      <c r="F233" s="117"/>
      <c r="G233" s="187"/>
      <c r="H233" s="144"/>
      <c r="O233" s="146"/>
      <c r="P233" s="144"/>
      <c r="Q233" s="144"/>
      <c r="R233" s="144"/>
      <c r="S233" s="144"/>
      <c r="T233" s="144"/>
      <c r="U233" s="144"/>
      <c r="V233" s="144"/>
      <c r="W233" s="144"/>
      <c r="X233" s="144"/>
      <c r="Y233" s="144"/>
      <c r="Z233" s="144"/>
      <c r="AA233" s="144"/>
      <c r="AC233" s="144"/>
      <c r="AD233" s="146"/>
      <c r="AE233" s="144"/>
      <c r="AF233" s="144"/>
      <c r="AG233" s="144"/>
      <c r="AH233" s="144"/>
      <c r="AI233" s="144"/>
      <c r="AJ233" s="144"/>
      <c r="AK233" s="144"/>
      <c r="AL233" s="144"/>
      <c r="AM233" s="144"/>
      <c r="AN233" s="144"/>
      <c r="AO233" s="147"/>
    </row>
    <row r="234" spans="1:41" s="149" customFormat="1" x14ac:dyDescent="0.2">
      <c r="A234" s="117"/>
      <c r="B234" s="117"/>
      <c r="C234" s="117"/>
      <c r="D234" s="117"/>
      <c r="E234" s="117"/>
      <c r="F234" s="117"/>
      <c r="G234" s="187"/>
      <c r="H234" s="144"/>
      <c r="O234" s="146"/>
      <c r="P234" s="144"/>
      <c r="Q234" s="144"/>
      <c r="R234" s="144"/>
      <c r="S234" s="144"/>
      <c r="T234" s="144"/>
      <c r="U234" s="144"/>
      <c r="V234" s="144"/>
      <c r="W234" s="144"/>
      <c r="X234" s="144"/>
      <c r="Y234" s="144"/>
      <c r="Z234" s="144"/>
      <c r="AA234" s="144"/>
      <c r="AC234" s="144"/>
      <c r="AD234" s="146"/>
      <c r="AE234" s="144"/>
      <c r="AF234" s="144"/>
      <c r="AG234" s="144"/>
      <c r="AH234" s="144"/>
      <c r="AI234" s="144"/>
      <c r="AJ234" s="144"/>
      <c r="AK234" s="144"/>
      <c r="AL234" s="144"/>
      <c r="AM234" s="144"/>
      <c r="AN234" s="144"/>
      <c r="AO234" s="147"/>
    </row>
    <row r="235" spans="1:41" s="149" customFormat="1" x14ac:dyDescent="0.2">
      <c r="A235" s="117"/>
      <c r="B235" s="117"/>
      <c r="C235" s="117"/>
      <c r="D235" s="117"/>
      <c r="E235" s="117"/>
      <c r="F235" s="117"/>
      <c r="G235" s="187"/>
      <c r="H235" s="144"/>
      <c r="O235" s="146"/>
      <c r="P235" s="144"/>
      <c r="Q235" s="144"/>
      <c r="R235" s="144"/>
      <c r="S235" s="144"/>
      <c r="T235" s="144"/>
      <c r="U235" s="144"/>
      <c r="V235" s="144"/>
      <c r="W235" s="144"/>
      <c r="X235" s="144"/>
      <c r="Y235" s="144"/>
      <c r="Z235" s="144"/>
      <c r="AA235" s="144"/>
      <c r="AC235" s="144"/>
      <c r="AD235" s="146"/>
      <c r="AE235" s="144"/>
      <c r="AF235" s="144"/>
      <c r="AG235" s="144"/>
      <c r="AH235" s="144"/>
      <c r="AI235" s="144"/>
      <c r="AJ235" s="144"/>
      <c r="AK235" s="144"/>
      <c r="AL235" s="144"/>
      <c r="AM235" s="144"/>
      <c r="AN235" s="144"/>
      <c r="AO235" s="147"/>
    </row>
    <row r="236" spans="1:41" s="149" customFormat="1" x14ac:dyDescent="0.2">
      <c r="A236" s="117"/>
      <c r="B236" s="117"/>
      <c r="C236" s="117"/>
      <c r="D236" s="117"/>
      <c r="E236" s="117"/>
      <c r="F236" s="117"/>
      <c r="G236" s="187"/>
      <c r="H236" s="144"/>
      <c r="O236" s="146"/>
      <c r="P236" s="144"/>
      <c r="Q236" s="144"/>
      <c r="R236" s="144"/>
      <c r="S236" s="144"/>
      <c r="T236" s="144"/>
      <c r="U236" s="144"/>
      <c r="V236" s="144"/>
      <c r="W236" s="144"/>
      <c r="X236" s="144"/>
      <c r="Y236" s="144"/>
      <c r="Z236" s="144"/>
      <c r="AA236" s="144"/>
      <c r="AC236" s="144"/>
      <c r="AD236" s="146"/>
      <c r="AE236" s="144"/>
      <c r="AF236" s="144"/>
      <c r="AG236" s="144"/>
      <c r="AH236" s="144"/>
      <c r="AI236" s="144"/>
      <c r="AJ236" s="144"/>
      <c r="AK236" s="144"/>
      <c r="AL236" s="144"/>
      <c r="AM236" s="144"/>
      <c r="AN236" s="144"/>
      <c r="AO236" s="147"/>
    </row>
    <row r="237" spans="1:41" s="149" customFormat="1" x14ac:dyDescent="0.2">
      <c r="A237" s="117"/>
      <c r="B237" s="117"/>
      <c r="C237" s="117"/>
      <c r="D237" s="117"/>
      <c r="E237" s="117"/>
      <c r="F237" s="117"/>
      <c r="G237" s="187"/>
      <c r="H237" s="144"/>
      <c r="O237" s="146"/>
      <c r="P237" s="144"/>
      <c r="Q237" s="144"/>
      <c r="R237" s="144"/>
      <c r="S237" s="144"/>
      <c r="T237" s="144"/>
      <c r="U237" s="144"/>
      <c r="V237" s="144"/>
      <c r="W237" s="144"/>
      <c r="X237" s="144"/>
      <c r="Y237" s="144"/>
      <c r="Z237" s="144"/>
      <c r="AA237" s="144"/>
      <c r="AC237" s="144"/>
      <c r="AD237" s="146"/>
      <c r="AE237" s="144"/>
      <c r="AF237" s="144"/>
      <c r="AG237" s="144"/>
      <c r="AH237" s="144"/>
      <c r="AI237" s="144"/>
      <c r="AJ237" s="144"/>
      <c r="AK237" s="144"/>
      <c r="AL237" s="144"/>
      <c r="AM237" s="144"/>
      <c r="AN237" s="144"/>
      <c r="AO237" s="147"/>
    </row>
    <row r="238" spans="1:41" s="149" customFormat="1" x14ac:dyDescent="0.2">
      <c r="A238" s="117"/>
      <c r="B238" s="117"/>
      <c r="C238" s="117"/>
      <c r="D238" s="117"/>
      <c r="E238" s="117"/>
      <c r="F238" s="117"/>
      <c r="G238" s="187"/>
      <c r="H238" s="144"/>
      <c r="O238" s="146"/>
      <c r="P238" s="144"/>
      <c r="Q238" s="144"/>
      <c r="R238" s="144"/>
      <c r="S238" s="144"/>
      <c r="T238" s="144"/>
      <c r="U238" s="144"/>
      <c r="V238" s="144"/>
      <c r="W238" s="144"/>
      <c r="X238" s="144"/>
      <c r="Y238" s="144"/>
      <c r="Z238" s="144"/>
      <c r="AA238" s="144"/>
      <c r="AC238" s="144"/>
      <c r="AD238" s="146"/>
      <c r="AE238" s="144"/>
      <c r="AF238" s="144"/>
      <c r="AG238" s="144"/>
      <c r="AH238" s="144"/>
      <c r="AI238" s="144"/>
      <c r="AJ238" s="144"/>
      <c r="AK238" s="144"/>
      <c r="AL238" s="144"/>
      <c r="AM238" s="144"/>
      <c r="AN238" s="144"/>
      <c r="AO238" s="147"/>
    </row>
    <row r="239" spans="1:41" s="149" customFormat="1" x14ac:dyDescent="0.2">
      <c r="A239" s="117"/>
      <c r="B239" s="117"/>
      <c r="C239" s="117"/>
      <c r="D239" s="117"/>
      <c r="E239" s="117"/>
      <c r="F239" s="117"/>
      <c r="G239" s="187"/>
      <c r="H239" s="144"/>
      <c r="O239" s="146"/>
      <c r="P239" s="144"/>
      <c r="Q239" s="144"/>
      <c r="R239" s="144"/>
      <c r="S239" s="144"/>
      <c r="T239" s="144"/>
      <c r="U239" s="144"/>
      <c r="V239" s="144"/>
      <c r="W239" s="144"/>
      <c r="X239" s="144"/>
      <c r="Y239" s="144"/>
      <c r="Z239" s="144"/>
      <c r="AA239" s="144"/>
      <c r="AC239" s="144"/>
      <c r="AD239" s="146"/>
      <c r="AE239" s="144"/>
      <c r="AF239" s="144"/>
      <c r="AG239" s="144"/>
      <c r="AH239" s="144"/>
      <c r="AI239" s="144"/>
      <c r="AJ239" s="144"/>
      <c r="AK239" s="144"/>
      <c r="AL239" s="144"/>
      <c r="AM239" s="144"/>
      <c r="AN239" s="144"/>
      <c r="AO239" s="147"/>
    </row>
    <row r="240" spans="1:41" s="149" customFormat="1" x14ac:dyDescent="0.2">
      <c r="A240" s="117"/>
      <c r="B240" s="117"/>
      <c r="C240" s="117"/>
      <c r="D240" s="117"/>
      <c r="E240" s="117"/>
      <c r="F240" s="117"/>
      <c r="G240" s="187"/>
      <c r="H240" s="144"/>
      <c r="O240" s="146"/>
      <c r="P240" s="144"/>
      <c r="Q240" s="144"/>
      <c r="R240" s="144"/>
      <c r="S240" s="144"/>
      <c r="T240" s="144"/>
      <c r="U240" s="144"/>
      <c r="V240" s="144"/>
      <c r="W240" s="144"/>
      <c r="X240" s="144"/>
      <c r="Y240" s="144"/>
      <c r="Z240" s="144"/>
      <c r="AA240" s="144"/>
      <c r="AC240" s="144"/>
      <c r="AD240" s="146"/>
      <c r="AE240" s="144"/>
      <c r="AF240" s="144"/>
      <c r="AG240" s="144"/>
      <c r="AH240" s="144"/>
      <c r="AI240" s="144"/>
      <c r="AJ240" s="144"/>
      <c r="AK240" s="144"/>
      <c r="AL240" s="144"/>
      <c r="AM240" s="144"/>
      <c r="AN240" s="144"/>
      <c r="AO240" s="147"/>
    </row>
    <row r="241" spans="1:41" s="149" customFormat="1" x14ac:dyDescent="0.2">
      <c r="A241" s="117"/>
      <c r="B241" s="117"/>
      <c r="C241" s="117"/>
      <c r="D241" s="117"/>
      <c r="E241" s="117"/>
      <c r="F241" s="117"/>
      <c r="G241" s="187"/>
      <c r="H241" s="144"/>
      <c r="O241" s="146"/>
      <c r="P241" s="144"/>
      <c r="Q241" s="144"/>
      <c r="R241" s="144"/>
      <c r="S241" s="144"/>
      <c r="T241" s="144"/>
      <c r="U241" s="144"/>
      <c r="V241" s="144"/>
      <c r="W241" s="144"/>
      <c r="X241" s="144"/>
      <c r="Y241" s="144"/>
      <c r="AA241" s="144"/>
      <c r="AC241" s="144"/>
      <c r="AD241" s="146"/>
      <c r="AE241" s="144"/>
      <c r="AF241" s="144"/>
      <c r="AG241" s="144"/>
      <c r="AH241" s="144"/>
      <c r="AI241" s="144"/>
      <c r="AJ241" s="144"/>
      <c r="AK241" s="144"/>
      <c r="AL241" s="144"/>
      <c r="AM241" s="144"/>
      <c r="AN241" s="144"/>
      <c r="AO241" s="147"/>
    </row>
    <row r="242" spans="1:41" s="149" customFormat="1" x14ac:dyDescent="0.2">
      <c r="A242" s="117"/>
      <c r="B242" s="117"/>
      <c r="C242" s="117"/>
      <c r="D242" s="117"/>
      <c r="E242" s="117"/>
      <c r="F242" s="117"/>
      <c r="G242" s="187"/>
      <c r="H242" s="144"/>
      <c r="O242" s="146"/>
      <c r="P242" s="144"/>
      <c r="Q242" s="144"/>
      <c r="R242" s="144"/>
      <c r="S242" s="144"/>
      <c r="T242" s="144"/>
      <c r="U242" s="144"/>
      <c r="V242" s="144"/>
      <c r="W242" s="144"/>
      <c r="X242" s="144"/>
      <c r="Y242" s="144"/>
      <c r="AA242" s="144"/>
      <c r="AC242" s="144"/>
      <c r="AD242" s="146"/>
      <c r="AE242" s="144"/>
      <c r="AF242" s="144"/>
      <c r="AG242" s="144"/>
      <c r="AH242" s="144"/>
      <c r="AI242" s="144"/>
      <c r="AJ242" s="144"/>
      <c r="AK242" s="144"/>
      <c r="AL242" s="144"/>
      <c r="AM242" s="144"/>
      <c r="AN242" s="144"/>
      <c r="AO242" s="147"/>
    </row>
    <row r="243" spans="1:41" s="149" customFormat="1" x14ac:dyDescent="0.2">
      <c r="A243" s="117"/>
      <c r="B243" s="117"/>
      <c r="C243" s="117"/>
      <c r="D243" s="117"/>
      <c r="E243" s="117"/>
      <c r="F243" s="117"/>
      <c r="G243" s="187"/>
      <c r="H243" s="144"/>
      <c r="O243" s="146"/>
      <c r="P243" s="144"/>
      <c r="Q243" s="144"/>
      <c r="R243" s="144"/>
      <c r="S243" s="144"/>
      <c r="T243" s="144"/>
      <c r="U243" s="144"/>
      <c r="V243" s="144"/>
      <c r="W243" s="144"/>
      <c r="X243" s="144"/>
      <c r="Y243" s="144"/>
      <c r="AA243" s="144"/>
      <c r="AC243" s="144"/>
      <c r="AD243" s="146"/>
      <c r="AE243" s="144"/>
      <c r="AF243" s="144"/>
      <c r="AG243" s="144"/>
      <c r="AH243" s="144"/>
      <c r="AI243" s="144"/>
      <c r="AJ243" s="144"/>
      <c r="AK243" s="144"/>
      <c r="AL243" s="144"/>
      <c r="AM243" s="144"/>
      <c r="AN243" s="144"/>
      <c r="AO243" s="147"/>
    </row>
    <row r="244" spans="1:41" s="149" customFormat="1" x14ac:dyDescent="0.2">
      <c r="A244" s="117"/>
      <c r="B244" s="117"/>
      <c r="C244" s="117"/>
      <c r="D244" s="117"/>
      <c r="E244" s="117"/>
      <c r="F244" s="117"/>
      <c r="G244" s="187"/>
      <c r="H244" s="144"/>
      <c r="O244" s="146"/>
      <c r="P244" s="144"/>
      <c r="Q244" s="144"/>
      <c r="R244" s="144"/>
      <c r="S244" s="144"/>
      <c r="T244" s="144"/>
      <c r="U244" s="144"/>
      <c r="V244" s="144"/>
      <c r="W244" s="144"/>
      <c r="X244" s="144"/>
      <c r="Y244" s="144"/>
      <c r="AA244" s="144"/>
      <c r="AC244" s="144"/>
      <c r="AD244" s="146"/>
      <c r="AE244" s="144"/>
      <c r="AF244" s="144"/>
      <c r="AG244" s="144"/>
      <c r="AH244" s="144"/>
      <c r="AI244" s="144"/>
      <c r="AJ244" s="144"/>
      <c r="AK244" s="144"/>
      <c r="AL244" s="144"/>
      <c r="AM244" s="144"/>
      <c r="AN244" s="144"/>
      <c r="AO244" s="147"/>
    </row>
    <row r="245" spans="1:41" s="149" customFormat="1" x14ac:dyDescent="0.2">
      <c r="A245" s="117"/>
      <c r="B245" s="117"/>
      <c r="C245" s="117"/>
      <c r="D245" s="117"/>
      <c r="E245" s="117"/>
      <c r="F245" s="117"/>
      <c r="G245" s="187"/>
      <c r="H245" s="144"/>
      <c r="O245" s="146"/>
      <c r="P245" s="144"/>
      <c r="Q245" s="144"/>
      <c r="R245" s="144"/>
      <c r="S245" s="144"/>
      <c r="T245" s="144"/>
      <c r="U245" s="144"/>
      <c r="V245" s="144"/>
      <c r="W245" s="144"/>
      <c r="X245" s="144"/>
      <c r="Y245" s="144"/>
      <c r="AA245" s="144"/>
      <c r="AC245" s="144"/>
      <c r="AD245" s="146"/>
      <c r="AE245" s="144"/>
      <c r="AF245" s="144"/>
      <c r="AG245" s="144"/>
      <c r="AH245" s="144"/>
      <c r="AI245" s="144"/>
      <c r="AJ245" s="144"/>
      <c r="AK245" s="144"/>
      <c r="AL245" s="144"/>
      <c r="AM245" s="144"/>
      <c r="AN245" s="144"/>
      <c r="AO245" s="147"/>
    </row>
    <row r="246" spans="1:41" s="149" customFormat="1" x14ac:dyDescent="0.2">
      <c r="A246" s="117"/>
      <c r="B246" s="117"/>
      <c r="C246" s="117"/>
      <c r="D246" s="117"/>
      <c r="E246" s="117"/>
      <c r="F246" s="117"/>
      <c r="G246" s="187"/>
      <c r="H246" s="144"/>
      <c r="O246" s="146"/>
      <c r="P246" s="144"/>
      <c r="Q246" s="144"/>
      <c r="R246" s="144"/>
      <c r="S246" s="144"/>
      <c r="T246" s="144"/>
      <c r="U246" s="144"/>
      <c r="V246" s="144"/>
      <c r="W246" s="144"/>
      <c r="X246" s="144"/>
      <c r="Y246" s="144"/>
      <c r="AA246" s="144"/>
      <c r="AC246" s="144"/>
      <c r="AD246" s="146"/>
      <c r="AE246" s="144"/>
      <c r="AF246" s="144"/>
      <c r="AG246" s="144"/>
      <c r="AH246" s="144"/>
      <c r="AI246" s="144"/>
      <c r="AJ246" s="144"/>
      <c r="AK246" s="144"/>
      <c r="AL246" s="144"/>
      <c r="AM246" s="144"/>
      <c r="AN246" s="144"/>
      <c r="AO246" s="147"/>
    </row>
    <row r="247" spans="1:41" s="149" customFormat="1" x14ac:dyDescent="0.2">
      <c r="A247" s="117"/>
      <c r="B247" s="117"/>
      <c r="C247" s="117"/>
      <c r="D247" s="117"/>
      <c r="E247" s="117"/>
      <c r="F247" s="117"/>
      <c r="G247" s="187"/>
      <c r="H247" s="144"/>
      <c r="O247" s="146"/>
      <c r="P247" s="144"/>
      <c r="Q247" s="144"/>
      <c r="R247" s="144"/>
      <c r="S247" s="144"/>
      <c r="T247" s="144"/>
      <c r="U247" s="144"/>
      <c r="V247" s="144"/>
      <c r="W247" s="144"/>
      <c r="X247" s="144"/>
      <c r="Y247" s="144"/>
      <c r="AA247" s="144"/>
      <c r="AC247" s="144"/>
      <c r="AD247" s="146"/>
      <c r="AE247" s="144"/>
      <c r="AF247" s="144"/>
      <c r="AG247" s="144"/>
      <c r="AH247" s="144"/>
      <c r="AI247" s="144"/>
      <c r="AJ247" s="144"/>
      <c r="AK247" s="144"/>
      <c r="AL247" s="144"/>
      <c r="AM247" s="144"/>
      <c r="AN247" s="144"/>
      <c r="AO247" s="147"/>
    </row>
    <row r="248" spans="1:41" s="149" customFormat="1" x14ac:dyDescent="0.2">
      <c r="A248" s="117"/>
      <c r="B248" s="117"/>
      <c r="C248" s="117"/>
      <c r="D248" s="117"/>
      <c r="E248" s="117"/>
      <c r="F248" s="117"/>
      <c r="G248" s="187"/>
      <c r="H248" s="144"/>
      <c r="O248" s="146"/>
      <c r="P248" s="144"/>
      <c r="Q248" s="144"/>
      <c r="R248" s="144"/>
      <c r="S248" s="144"/>
      <c r="T248" s="144"/>
      <c r="U248" s="144"/>
      <c r="V248" s="144"/>
      <c r="W248" s="144"/>
      <c r="X248" s="144"/>
      <c r="Y248" s="144"/>
      <c r="AA248" s="144"/>
      <c r="AC248" s="144"/>
      <c r="AD248" s="146"/>
      <c r="AE248" s="144"/>
      <c r="AF248" s="144"/>
      <c r="AG248" s="144"/>
      <c r="AH248" s="144"/>
      <c r="AI248" s="144"/>
      <c r="AJ248" s="144"/>
      <c r="AK248" s="144"/>
      <c r="AL248" s="144"/>
      <c r="AM248" s="144"/>
      <c r="AN248" s="144"/>
      <c r="AO248" s="147"/>
    </row>
    <row r="249" spans="1:41" s="149" customFormat="1" x14ac:dyDescent="0.2">
      <c r="A249" s="117"/>
      <c r="B249" s="117"/>
      <c r="C249" s="117"/>
      <c r="D249" s="117"/>
      <c r="E249" s="117"/>
      <c r="F249" s="117"/>
      <c r="G249" s="187"/>
      <c r="H249" s="144"/>
      <c r="O249" s="146"/>
      <c r="P249" s="144"/>
      <c r="Q249" s="144"/>
      <c r="R249" s="144"/>
      <c r="S249" s="144"/>
      <c r="T249" s="144"/>
      <c r="U249" s="144"/>
      <c r="V249" s="144"/>
      <c r="W249" s="144"/>
      <c r="X249" s="144"/>
      <c r="Y249" s="144"/>
      <c r="AA249" s="144"/>
      <c r="AC249" s="144"/>
      <c r="AD249" s="146"/>
      <c r="AE249" s="144"/>
      <c r="AF249" s="144"/>
      <c r="AG249" s="144"/>
      <c r="AH249" s="144"/>
      <c r="AI249" s="144"/>
      <c r="AJ249" s="144"/>
      <c r="AK249" s="144"/>
      <c r="AL249" s="144"/>
      <c r="AM249" s="144"/>
      <c r="AN249" s="144"/>
      <c r="AO249" s="147"/>
    </row>
    <row r="250" spans="1:41" s="149" customFormat="1" x14ac:dyDescent="0.2">
      <c r="A250" s="117"/>
      <c r="B250" s="117"/>
      <c r="C250" s="117"/>
      <c r="D250" s="117"/>
      <c r="E250" s="117"/>
      <c r="F250" s="117"/>
      <c r="G250" s="187"/>
      <c r="H250" s="144"/>
      <c r="O250" s="146"/>
      <c r="P250" s="144"/>
      <c r="Q250" s="144"/>
      <c r="R250" s="144"/>
      <c r="S250" s="144"/>
      <c r="T250" s="144"/>
      <c r="U250" s="144"/>
      <c r="V250" s="144"/>
      <c r="W250" s="144"/>
      <c r="X250" s="144"/>
      <c r="Y250" s="144"/>
      <c r="AA250" s="144"/>
      <c r="AC250" s="144"/>
      <c r="AD250" s="146"/>
      <c r="AE250" s="144"/>
      <c r="AF250" s="144"/>
      <c r="AG250" s="144"/>
      <c r="AH250" s="144"/>
      <c r="AI250" s="144"/>
      <c r="AJ250" s="144"/>
      <c r="AK250" s="144"/>
      <c r="AL250" s="144"/>
      <c r="AM250" s="144"/>
      <c r="AN250" s="144"/>
      <c r="AO250" s="147"/>
    </row>
    <row r="251" spans="1:41" s="149" customFormat="1" x14ac:dyDescent="0.2">
      <c r="A251" s="117"/>
      <c r="B251" s="117"/>
      <c r="C251" s="117"/>
      <c r="D251" s="117"/>
      <c r="E251" s="117"/>
      <c r="F251" s="117"/>
      <c r="G251" s="187"/>
      <c r="H251" s="144"/>
      <c r="O251" s="146"/>
      <c r="P251" s="144"/>
      <c r="Q251" s="144"/>
      <c r="R251" s="144"/>
      <c r="S251" s="144"/>
      <c r="T251" s="144"/>
      <c r="U251" s="144"/>
      <c r="V251" s="144"/>
      <c r="W251" s="144"/>
      <c r="X251" s="144"/>
      <c r="Y251" s="144"/>
      <c r="AA251" s="144"/>
      <c r="AC251" s="144"/>
      <c r="AD251" s="146"/>
      <c r="AE251" s="144"/>
      <c r="AF251" s="144"/>
      <c r="AG251" s="144"/>
      <c r="AH251" s="144"/>
      <c r="AI251" s="144"/>
      <c r="AJ251" s="144"/>
      <c r="AK251" s="144"/>
      <c r="AL251" s="144"/>
      <c r="AM251" s="144"/>
      <c r="AN251" s="144"/>
      <c r="AO251" s="147"/>
    </row>
    <row r="252" spans="1:41" s="149" customFormat="1" x14ac:dyDescent="0.2">
      <c r="A252" s="117"/>
      <c r="B252" s="117"/>
      <c r="C252" s="117"/>
      <c r="D252" s="117"/>
      <c r="E252" s="117"/>
      <c r="F252" s="117"/>
      <c r="G252" s="187"/>
      <c r="H252" s="144"/>
      <c r="O252" s="146"/>
      <c r="P252" s="144"/>
      <c r="Q252" s="144"/>
      <c r="R252" s="144"/>
      <c r="S252" s="144"/>
      <c r="T252" s="144"/>
      <c r="U252" s="144"/>
      <c r="V252" s="144"/>
      <c r="W252" s="144"/>
      <c r="X252" s="144"/>
      <c r="Y252" s="144"/>
      <c r="AA252" s="144"/>
      <c r="AC252" s="144"/>
      <c r="AD252" s="146"/>
      <c r="AE252" s="144"/>
      <c r="AF252" s="144"/>
      <c r="AG252" s="144"/>
      <c r="AH252" s="144"/>
      <c r="AI252" s="144"/>
      <c r="AJ252" s="144"/>
      <c r="AK252" s="144"/>
      <c r="AL252" s="144"/>
      <c r="AM252" s="144"/>
      <c r="AN252" s="144"/>
      <c r="AO252" s="147"/>
    </row>
    <row r="253" spans="1:41" s="149" customFormat="1" x14ac:dyDescent="0.2">
      <c r="A253" s="117"/>
      <c r="B253" s="117"/>
      <c r="C253" s="117"/>
      <c r="D253" s="117"/>
      <c r="E253" s="117"/>
      <c r="F253" s="117"/>
      <c r="G253" s="187"/>
      <c r="H253" s="144"/>
      <c r="O253" s="146"/>
      <c r="P253" s="144"/>
      <c r="Q253" s="144"/>
      <c r="R253" s="144"/>
      <c r="S253" s="144"/>
      <c r="T253" s="144"/>
      <c r="U253" s="144"/>
      <c r="V253" s="144"/>
      <c r="W253" s="144"/>
      <c r="X253" s="144"/>
      <c r="Y253" s="144"/>
      <c r="AA253" s="144"/>
      <c r="AC253" s="144"/>
      <c r="AD253" s="146"/>
      <c r="AE253" s="144"/>
      <c r="AF253" s="144"/>
      <c r="AG253" s="144"/>
      <c r="AH253" s="144"/>
      <c r="AI253" s="144"/>
      <c r="AJ253" s="144"/>
      <c r="AK253" s="144"/>
      <c r="AL253" s="144"/>
      <c r="AM253" s="144"/>
      <c r="AN253" s="144"/>
      <c r="AO253" s="147"/>
    </row>
    <row r="254" spans="1:41" s="149" customFormat="1" x14ac:dyDescent="0.2">
      <c r="A254" s="117"/>
      <c r="B254" s="117"/>
      <c r="C254" s="117"/>
      <c r="D254" s="117"/>
      <c r="E254" s="117"/>
      <c r="F254" s="117"/>
      <c r="G254" s="187"/>
      <c r="H254" s="144"/>
      <c r="O254" s="146"/>
      <c r="P254" s="144"/>
      <c r="Q254" s="144"/>
      <c r="R254" s="144"/>
      <c r="S254" s="144"/>
      <c r="T254" s="144"/>
      <c r="U254" s="144"/>
      <c r="V254" s="144"/>
      <c r="W254" s="144"/>
      <c r="X254" s="144"/>
      <c r="Y254" s="144"/>
      <c r="AA254" s="144"/>
      <c r="AC254" s="144"/>
      <c r="AD254" s="146"/>
      <c r="AE254" s="144"/>
      <c r="AF254" s="144"/>
      <c r="AG254" s="144"/>
      <c r="AH254" s="144"/>
      <c r="AI254" s="144"/>
      <c r="AJ254" s="144"/>
      <c r="AK254" s="144"/>
      <c r="AL254" s="144"/>
      <c r="AM254" s="144"/>
      <c r="AN254" s="144"/>
      <c r="AO254" s="147"/>
    </row>
    <row r="255" spans="1:41" s="149" customFormat="1" x14ac:dyDescent="0.2">
      <c r="A255" s="117"/>
      <c r="B255" s="117"/>
      <c r="C255" s="117"/>
      <c r="D255" s="117"/>
      <c r="E255" s="117"/>
      <c r="F255" s="117"/>
      <c r="G255" s="187"/>
      <c r="H255" s="144"/>
      <c r="O255" s="146"/>
      <c r="P255" s="144"/>
      <c r="Q255" s="144"/>
      <c r="R255" s="144"/>
      <c r="S255" s="144"/>
      <c r="T255" s="144"/>
      <c r="U255" s="144"/>
      <c r="V255" s="144"/>
      <c r="W255" s="144"/>
      <c r="X255" s="144"/>
      <c r="Y255" s="144"/>
      <c r="AA255" s="144"/>
      <c r="AC255" s="144"/>
      <c r="AD255" s="146"/>
      <c r="AE255" s="144"/>
      <c r="AF255" s="144"/>
      <c r="AG255" s="144"/>
      <c r="AH255" s="144"/>
      <c r="AI255" s="144"/>
      <c r="AJ255" s="144"/>
      <c r="AK255" s="144"/>
      <c r="AL255" s="144"/>
      <c r="AM255" s="144"/>
      <c r="AN255" s="144"/>
      <c r="AO255" s="147"/>
    </row>
    <row r="256" spans="1:41" s="149" customFormat="1" x14ac:dyDescent="0.2">
      <c r="A256" s="117"/>
      <c r="B256" s="117"/>
      <c r="C256" s="117"/>
      <c r="D256" s="117"/>
      <c r="E256" s="117"/>
      <c r="F256" s="117"/>
      <c r="G256" s="187"/>
      <c r="H256" s="144"/>
      <c r="O256" s="146"/>
      <c r="P256" s="144"/>
      <c r="Q256" s="144"/>
      <c r="R256" s="144"/>
      <c r="S256" s="144"/>
      <c r="T256" s="144"/>
      <c r="U256" s="144"/>
      <c r="V256" s="144"/>
      <c r="W256" s="144"/>
      <c r="X256" s="144"/>
      <c r="Y256" s="144"/>
      <c r="AA256" s="144"/>
      <c r="AC256" s="144"/>
      <c r="AD256" s="146"/>
      <c r="AE256" s="144"/>
      <c r="AF256" s="144"/>
      <c r="AG256" s="144"/>
      <c r="AH256" s="144"/>
      <c r="AI256" s="144"/>
      <c r="AJ256" s="144"/>
      <c r="AK256" s="144"/>
      <c r="AL256" s="144"/>
      <c r="AM256" s="144"/>
      <c r="AN256" s="144"/>
      <c r="AO256" s="147"/>
    </row>
    <row r="257" spans="1:41" s="149" customFormat="1" x14ac:dyDescent="0.2">
      <c r="A257" s="117"/>
      <c r="B257" s="117"/>
      <c r="C257" s="117"/>
      <c r="D257" s="117"/>
      <c r="E257" s="117"/>
      <c r="F257" s="117"/>
      <c r="G257" s="187"/>
      <c r="H257" s="144"/>
      <c r="X257" s="144"/>
      <c r="Y257" s="144"/>
      <c r="AA257" s="144"/>
      <c r="AC257" s="144"/>
      <c r="AD257" s="146"/>
      <c r="AE257" s="144"/>
      <c r="AF257" s="144"/>
      <c r="AG257" s="144"/>
      <c r="AH257" s="144"/>
      <c r="AI257" s="144"/>
      <c r="AJ257" s="144"/>
      <c r="AK257" s="144"/>
      <c r="AL257" s="144"/>
      <c r="AM257" s="144"/>
      <c r="AN257" s="144"/>
      <c r="AO257" s="147"/>
    </row>
    <row r="258" spans="1:41" s="149" customFormat="1" x14ac:dyDescent="0.2">
      <c r="A258" s="117"/>
      <c r="B258" s="117"/>
      <c r="C258" s="117"/>
      <c r="D258" s="117"/>
      <c r="E258" s="117"/>
      <c r="F258" s="117"/>
      <c r="G258" s="187"/>
      <c r="H258" s="144"/>
      <c r="X258" s="144"/>
      <c r="Y258" s="144"/>
      <c r="AA258" s="144"/>
      <c r="AC258" s="144"/>
      <c r="AD258" s="146"/>
      <c r="AE258" s="144"/>
      <c r="AF258" s="144"/>
      <c r="AG258" s="144"/>
      <c r="AH258" s="144"/>
      <c r="AI258" s="144"/>
      <c r="AJ258" s="144"/>
      <c r="AK258" s="144"/>
      <c r="AL258" s="144"/>
      <c r="AM258" s="144"/>
      <c r="AN258" s="144"/>
      <c r="AO258" s="147"/>
    </row>
    <row r="259" spans="1:41" s="149" customFormat="1" x14ac:dyDescent="0.2">
      <c r="A259" s="117"/>
      <c r="B259" s="117"/>
      <c r="C259" s="117"/>
      <c r="D259" s="117"/>
      <c r="E259" s="117"/>
      <c r="F259" s="117"/>
      <c r="G259" s="187"/>
      <c r="H259" s="144"/>
      <c r="X259" s="144"/>
      <c r="Y259" s="144"/>
      <c r="AA259" s="144"/>
      <c r="AC259" s="144"/>
      <c r="AD259" s="146"/>
      <c r="AE259" s="144"/>
      <c r="AF259" s="144"/>
      <c r="AG259" s="144"/>
      <c r="AH259" s="144"/>
      <c r="AI259" s="144"/>
      <c r="AJ259" s="144"/>
      <c r="AK259" s="144"/>
      <c r="AL259" s="144"/>
      <c r="AM259" s="144"/>
      <c r="AN259" s="144"/>
      <c r="AO259" s="147"/>
    </row>
    <row r="260" spans="1:41" s="149" customFormat="1" x14ac:dyDescent="0.2">
      <c r="A260" s="117"/>
      <c r="B260" s="117"/>
      <c r="C260" s="117"/>
      <c r="D260" s="117"/>
      <c r="E260" s="117"/>
      <c r="F260" s="117"/>
      <c r="G260" s="187"/>
      <c r="H260" s="144"/>
      <c r="X260" s="144"/>
      <c r="Y260" s="144"/>
      <c r="AA260" s="144"/>
      <c r="AC260" s="144"/>
      <c r="AD260" s="146"/>
      <c r="AE260" s="144"/>
      <c r="AF260" s="144"/>
      <c r="AG260" s="144"/>
      <c r="AH260" s="144"/>
      <c r="AI260" s="144"/>
      <c r="AJ260" s="144"/>
      <c r="AK260" s="144"/>
      <c r="AL260" s="144"/>
      <c r="AM260" s="144"/>
      <c r="AN260" s="144"/>
      <c r="AO260" s="147"/>
    </row>
    <row r="261" spans="1:41" s="149" customFormat="1" x14ac:dyDescent="0.2">
      <c r="A261" s="117"/>
      <c r="B261" s="117"/>
      <c r="C261" s="117"/>
      <c r="D261" s="117"/>
      <c r="E261" s="117"/>
      <c r="F261" s="117"/>
      <c r="G261" s="187"/>
      <c r="H261" s="144"/>
      <c r="X261" s="144"/>
      <c r="Y261" s="144"/>
      <c r="AA261" s="144"/>
      <c r="AC261" s="144"/>
      <c r="AD261" s="146"/>
      <c r="AE261" s="144"/>
      <c r="AF261" s="144"/>
      <c r="AG261" s="144"/>
      <c r="AH261" s="144"/>
      <c r="AI261" s="144"/>
      <c r="AJ261" s="144"/>
      <c r="AK261" s="144"/>
      <c r="AL261" s="144"/>
      <c r="AM261" s="144"/>
      <c r="AN261" s="144"/>
      <c r="AO261" s="147"/>
    </row>
    <row r="262" spans="1:41" s="149" customFormat="1" x14ac:dyDescent="0.2">
      <c r="A262" s="117"/>
      <c r="B262" s="117"/>
      <c r="C262" s="117"/>
      <c r="D262" s="117"/>
      <c r="E262" s="117"/>
      <c r="F262" s="117"/>
      <c r="G262" s="187"/>
      <c r="H262" s="144"/>
      <c r="AC262" s="144"/>
      <c r="AD262" s="146"/>
      <c r="AE262" s="144"/>
      <c r="AF262" s="144"/>
      <c r="AG262" s="144"/>
      <c r="AH262" s="144"/>
      <c r="AI262" s="144"/>
      <c r="AJ262" s="144"/>
      <c r="AK262" s="144"/>
      <c r="AL262" s="144"/>
      <c r="AM262" s="144"/>
      <c r="AN262" s="144"/>
      <c r="AO262" s="147"/>
    </row>
    <row r="263" spans="1:41" s="149" customFormat="1" x14ac:dyDescent="0.2">
      <c r="A263" s="117"/>
      <c r="B263" s="117"/>
      <c r="C263" s="117"/>
      <c r="D263" s="117"/>
      <c r="E263" s="117"/>
      <c r="F263" s="117"/>
      <c r="G263" s="187"/>
      <c r="H263" s="144"/>
      <c r="AC263" s="144"/>
      <c r="AD263" s="146"/>
      <c r="AE263" s="144"/>
      <c r="AF263" s="144"/>
      <c r="AG263" s="144"/>
      <c r="AH263" s="144"/>
      <c r="AI263" s="144"/>
      <c r="AJ263" s="144"/>
      <c r="AK263" s="144"/>
      <c r="AL263" s="144"/>
      <c r="AM263" s="144"/>
      <c r="AN263" s="144"/>
      <c r="AO263" s="147"/>
    </row>
    <row r="264" spans="1:41" s="149" customFormat="1" x14ac:dyDescent="0.2">
      <c r="A264" s="117"/>
      <c r="B264" s="117"/>
      <c r="C264" s="117"/>
      <c r="D264" s="117"/>
      <c r="E264" s="117"/>
      <c r="F264" s="117"/>
      <c r="G264" s="187"/>
      <c r="H264" s="144"/>
      <c r="AC264" s="144"/>
      <c r="AD264" s="146"/>
      <c r="AE264" s="144"/>
      <c r="AF264" s="144"/>
      <c r="AG264" s="144"/>
      <c r="AH264" s="144"/>
      <c r="AI264" s="144"/>
      <c r="AJ264" s="144"/>
      <c r="AK264" s="144"/>
      <c r="AL264" s="144"/>
      <c r="AM264" s="144"/>
      <c r="AN264" s="144"/>
      <c r="AO264" s="147"/>
    </row>
    <row r="265" spans="1:41" x14ac:dyDescent="0.2">
      <c r="A265" s="117"/>
      <c r="B265" s="117"/>
      <c r="C265" s="117"/>
      <c r="D265" s="117"/>
      <c r="E265" s="117"/>
      <c r="F265" s="117"/>
      <c r="G265" s="187"/>
    </row>
    <row r="266" spans="1:41" x14ac:dyDescent="0.2">
      <c r="A266" s="117"/>
      <c r="B266" s="117"/>
      <c r="C266" s="117"/>
      <c r="D266" s="117"/>
      <c r="E266" s="117"/>
      <c r="F266" s="117"/>
      <c r="G266" s="187"/>
    </row>
    <row r="267" spans="1:41" x14ac:dyDescent="0.2">
      <c r="A267" s="117"/>
      <c r="B267" s="117"/>
      <c r="C267" s="117"/>
      <c r="D267" s="117"/>
      <c r="E267" s="117"/>
      <c r="F267" s="117"/>
      <c r="G267" s="187"/>
    </row>
    <row r="268" spans="1:41" x14ac:dyDescent="0.2">
      <c r="A268" s="117"/>
      <c r="B268" s="117"/>
      <c r="C268" s="117"/>
      <c r="D268" s="117"/>
      <c r="E268" s="117"/>
      <c r="F268" s="117"/>
      <c r="G268" s="187"/>
    </row>
    <row r="269" spans="1:41" x14ac:dyDescent="0.2">
      <c r="A269" s="117"/>
      <c r="B269" s="117"/>
      <c r="C269" s="117"/>
      <c r="D269" s="117"/>
      <c r="E269" s="117"/>
      <c r="F269" s="117"/>
      <c r="G269" s="187"/>
    </row>
    <row r="270" spans="1:41" x14ac:dyDescent="0.2">
      <c r="A270" s="117"/>
      <c r="B270" s="117"/>
      <c r="C270" s="117"/>
      <c r="D270" s="117"/>
      <c r="E270" s="117"/>
      <c r="F270" s="117"/>
      <c r="G270" s="187"/>
    </row>
    <row r="271" spans="1:41" x14ac:dyDescent="0.2">
      <c r="A271" s="117"/>
      <c r="B271" s="117"/>
      <c r="C271" s="117"/>
      <c r="D271" s="117"/>
      <c r="E271" s="117"/>
      <c r="F271" s="117"/>
      <c r="G271" s="187"/>
    </row>
    <row r="272" spans="1:41" x14ac:dyDescent="0.2">
      <c r="A272" s="117"/>
      <c r="B272" s="117"/>
      <c r="C272" s="117"/>
      <c r="D272" s="117"/>
      <c r="E272" s="117"/>
      <c r="F272" s="117"/>
      <c r="G272" s="187"/>
    </row>
    <row r="273" spans="1:7" x14ac:dyDescent="0.2">
      <c r="A273" s="117"/>
      <c r="B273" s="117"/>
      <c r="C273" s="117"/>
      <c r="D273" s="117"/>
      <c r="E273" s="117"/>
      <c r="F273" s="117"/>
      <c r="G273" s="187"/>
    </row>
    <row r="274" spans="1:7" x14ac:dyDescent="0.2">
      <c r="A274" s="117"/>
      <c r="B274" s="117"/>
      <c r="C274" s="117"/>
      <c r="D274" s="117"/>
      <c r="E274" s="117"/>
      <c r="F274" s="117"/>
      <c r="G274" s="187"/>
    </row>
    <row r="275" spans="1:7" x14ac:dyDescent="0.2">
      <c r="A275" s="117"/>
      <c r="B275" s="117"/>
      <c r="C275" s="117"/>
      <c r="D275" s="117"/>
      <c r="E275" s="117"/>
      <c r="F275" s="117"/>
      <c r="G275" s="187"/>
    </row>
    <row r="276" spans="1:7" x14ac:dyDescent="0.2">
      <c r="A276" s="117"/>
      <c r="B276" s="117"/>
      <c r="C276" s="117"/>
      <c r="D276" s="117"/>
      <c r="E276" s="117"/>
      <c r="F276" s="117"/>
      <c r="G276" s="187"/>
    </row>
    <row r="277" spans="1:7" x14ac:dyDescent="0.2">
      <c r="A277" s="117"/>
      <c r="B277" s="117"/>
      <c r="C277" s="117"/>
      <c r="D277" s="117"/>
      <c r="E277" s="117"/>
      <c r="F277" s="117"/>
      <c r="G277" s="187"/>
    </row>
    <row r="278" spans="1:7" x14ac:dyDescent="0.2">
      <c r="A278" s="117"/>
      <c r="B278" s="117"/>
      <c r="C278" s="117"/>
      <c r="D278" s="117"/>
      <c r="E278" s="117"/>
      <c r="F278" s="117"/>
      <c r="G278" s="187"/>
    </row>
    <row r="279" spans="1:7" x14ac:dyDescent="0.2">
      <c r="A279" s="117"/>
      <c r="B279" s="117"/>
      <c r="C279" s="117"/>
      <c r="D279" s="117"/>
      <c r="E279" s="117"/>
      <c r="F279" s="117"/>
      <c r="G279" s="187"/>
    </row>
    <row r="280" spans="1:7" x14ac:dyDescent="0.2">
      <c r="A280" s="117"/>
      <c r="B280" s="117"/>
      <c r="C280" s="117"/>
      <c r="D280" s="117"/>
      <c r="E280" s="117"/>
      <c r="F280" s="117"/>
      <c r="G280" s="187"/>
    </row>
    <row r="281" spans="1:7" x14ac:dyDescent="0.2">
      <c r="A281" s="117"/>
      <c r="B281" s="117"/>
      <c r="C281" s="117"/>
      <c r="D281" s="117"/>
      <c r="E281" s="117"/>
      <c r="F281" s="117"/>
      <c r="G281" s="187"/>
    </row>
    <row r="282" spans="1:7" x14ac:dyDescent="0.2">
      <c r="A282" s="117"/>
      <c r="B282" s="117"/>
      <c r="C282" s="117"/>
      <c r="D282" s="117"/>
      <c r="E282" s="117"/>
      <c r="F282" s="117"/>
      <c r="G282" s="187"/>
    </row>
    <row r="283" spans="1:7" x14ac:dyDescent="0.2">
      <c r="A283" s="117"/>
      <c r="B283" s="117"/>
      <c r="C283" s="117"/>
      <c r="D283" s="117"/>
      <c r="E283" s="117"/>
      <c r="F283" s="117"/>
      <c r="G283" s="187"/>
    </row>
    <row r="284" spans="1:7" x14ac:dyDescent="0.2">
      <c r="A284" s="117"/>
      <c r="B284" s="117"/>
      <c r="C284" s="117"/>
      <c r="D284" s="117"/>
      <c r="E284" s="117"/>
      <c r="F284" s="117"/>
      <c r="G284" s="187"/>
    </row>
    <row r="285" spans="1:7" x14ac:dyDescent="0.2">
      <c r="A285" s="117"/>
      <c r="B285" s="117"/>
      <c r="C285" s="117"/>
      <c r="D285" s="117"/>
      <c r="E285" s="117"/>
      <c r="F285" s="117"/>
      <c r="G285" s="187"/>
    </row>
  </sheetData>
  <sheetProtection algorithmName="SHA-512" hashValue="8eg2COsNwmg1HSzFbFievutMrrQ0LkJk6oiGk60mbBZaBmlsI1fKgRKNvumwNUdiPQRLQvse01wyeKeHP1P3ZQ==" saltValue="IMF4wrAKqbFbD1oacvwhdA==" spinCount="100000" sheet="1" objects="1" scenarios="1"/>
  <mergeCells count="27">
    <mergeCell ref="C6:D6"/>
    <mergeCell ref="C8:D8"/>
    <mergeCell ref="C10:D10"/>
    <mergeCell ref="H62:M65"/>
    <mergeCell ref="H13:M14"/>
    <mergeCell ref="H59:M60"/>
    <mergeCell ref="C12:E12"/>
    <mergeCell ref="C13:E13"/>
    <mergeCell ref="C25:E25"/>
    <mergeCell ref="J11:M12"/>
    <mergeCell ref="H78:M79"/>
    <mergeCell ref="C14:F14"/>
    <mergeCell ref="C21:E21"/>
    <mergeCell ref="H31:M33"/>
    <mergeCell ref="H18:M19"/>
    <mergeCell ref="C19:E19"/>
    <mergeCell ref="C20:E20"/>
    <mergeCell ref="C23:E23"/>
    <mergeCell ref="H23:P23"/>
    <mergeCell ref="C24:E24"/>
    <mergeCell ref="C22:E22"/>
    <mergeCell ref="B40:B41"/>
    <mergeCell ref="H40:M42"/>
    <mergeCell ref="H50:M51"/>
    <mergeCell ref="B34:B35"/>
    <mergeCell ref="B37:B38"/>
    <mergeCell ref="H37:M39"/>
  </mergeCells>
  <conditionalFormatting sqref="C58">
    <cfRule type="expression" dxfId="739" priority="163" stopIfTrue="1">
      <formula>$F$23="No"</formula>
    </cfRule>
    <cfRule type="expression" dxfId="738" priority="197" stopIfTrue="1">
      <formula>E58="n/a"</formula>
    </cfRule>
  </conditionalFormatting>
  <conditionalFormatting sqref="G110">
    <cfRule type="expression" dxfId="737" priority="193" stopIfTrue="1">
      <formula>OR($G$107=$R$132,$G$107=$R$130)</formula>
    </cfRule>
    <cfRule type="expression" dxfId="736" priority="194" stopIfTrue="1">
      <formula>$G$109=0</formula>
    </cfRule>
    <cfRule type="expression" dxfId="735" priority="195" stopIfTrue="1">
      <formula>AND((OR($G$86=$R$132,$G$86=$R$133)),(OR($G$67=$R$132,$G$67=$R$133)))</formula>
    </cfRule>
  </conditionalFormatting>
  <conditionalFormatting sqref="G88">
    <cfRule type="expression" dxfId="734" priority="192" stopIfTrue="1">
      <formula>OR($G$86=$R$133,$G$86=$R$132,$G$86=$R$130)</formula>
    </cfRule>
  </conditionalFormatting>
  <conditionalFormatting sqref="C70">
    <cfRule type="expression" dxfId="733" priority="191" stopIfTrue="1">
      <formula>(OR($G$67=$R$133,$G$67=$R$132,$G$67=$R$130))</formula>
    </cfRule>
  </conditionalFormatting>
  <conditionalFormatting sqref="D70">
    <cfRule type="expression" dxfId="732" priority="189" stopIfTrue="1">
      <formula>(OR($G$67=$R$133,$G$67=$R$132,$G$67=$R$130))</formula>
    </cfRule>
    <cfRule type="expression" dxfId="731" priority="190" stopIfTrue="1">
      <formula>(OR($G$67=$R$133,$G$67=$R$132,$G$67=$R$130))</formula>
    </cfRule>
  </conditionalFormatting>
  <conditionalFormatting sqref="G99 D102:E102 G105 D107:G107 D110:F110 G115">
    <cfRule type="expression" dxfId="730" priority="184" stopIfTrue="1">
      <formula>AND((OR($G$86=$R$132,$G$86=$R$133,$G$86=$R$130)),(OR($G$67=$R$132,$G$67=$R$133,$G$67=$R$130)))</formula>
    </cfRule>
  </conditionalFormatting>
  <conditionalFormatting sqref="F102">
    <cfRule type="expression" dxfId="729" priority="182" stopIfTrue="1">
      <formula>AND((OR($G$86=$R$132,$G$86=$R$133,$G$86=$R$130)),(OR($G$67=$R$132,$G$67=$R$133,$G$67=$R$130)))</formula>
    </cfRule>
    <cfRule type="expression" dxfId="728" priority="183" stopIfTrue="1">
      <formula>$E$102=$R$132</formula>
    </cfRule>
  </conditionalFormatting>
  <conditionalFormatting sqref="G102">
    <cfRule type="expression" dxfId="727" priority="180" stopIfTrue="1">
      <formula>$E$102=$R$132</formula>
    </cfRule>
    <cfRule type="expression" dxfId="726" priority="181" stopIfTrue="1">
      <formula>AND((OR($G$86=$R$132,$G$86=$R$133,$G$86=$R$130)),(OR($G$67=$R$132,$G$67=$R$133,$G$67=$R$130)))</formula>
    </cfRule>
  </conditionalFormatting>
  <conditionalFormatting sqref="G109">
    <cfRule type="expression" dxfId="725" priority="177" stopIfTrue="1">
      <formula>AND((OR($G$86=$R$132,$G$86=$R$133,$G$86=$R$130)),(OR($G$67=$R$132,$G$67=$R$133,$G$67=$R$130)))</formula>
    </cfRule>
    <cfRule type="expression" dxfId="724" priority="178" stopIfTrue="1">
      <formula>OR($G$107=$R$130,$G$107=$R$130)</formula>
    </cfRule>
    <cfRule type="expression" dxfId="723" priority="179" stopIfTrue="1">
      <formula>AND((OR($G$86=$R$132,$G$86=$R$133,$G$86=$R$130)),(OR($G$67=$R$132,$G$67=$R$133,$G$67=$R$130)))</formula>
    </cfRule>
  </conditionalFormatting>
  <conditionalFormatting sqref="G112">
    <cfRule type="expression" dxfId="722" priority="174" stopIfTrue="1">
      <formula>AND((OR($G$86=$R$132,$G$86=$R$133,$G$86=$R$130)),(OR($G$67=$R$132,$G$67=$R$133,$G$67=$R$130)))</formula>
    </cfRule>
    <cfRule type="expression" dxfId="721" priority="175" stopIfTrue="1">
      <formula>OR($G$107=$R$130,$G$107=$R$130)</formula>
    </cfRule>
    <cfRule type="expression" dxfId="720" priority="176" stopIfTrue="1">
      <formula>AND((OR($G$86=$R$132,$G$86=$R$133,$G$86=$R$130)),(OR($G$67=$R$132,$G$67=$R$133,$G$67=$R$130)))</formula>
    </cfRule>
  </conditionalFormatting>
  <conditionalFormatting sqref="G94">
    <cfRule type="expression" dxfId="719" priority="171" stopIfTrue="1">
      <formula>OR($G$86=$R$133,$G$86=$R$132,$G$88=$T$130)</formula>
    </cfRule>
    <cfRule type="expression" dxfId="718" priority="172" stopIfTrue="1">
      <formula>$G$88=$T$131</formula>
    </cfRule>
    <cfRule type="expression" dxfId="717" priority="173" stopIfTrue="1">
      <formula>OR($G$86=$R$133,$G$86=$R$132,$G$86=$R$130,$G$88=$T$130)</formula>
    </cfRule>
  </conditionalFormatting>
  <conditionalFormatting sqref="F94">
    <cfRule type="expression" dxfId="716" priority="168" stopIfTrue="1">
      <formula>OR($G$86=$R$133,$G$86=$R$132,$G$86=$R$130,$G$88=$T$130)</formula>
    </cfRule>
    <cfRule type="expression" dxfId="715" priority="169" stopIfTrue="1">
      <formula>$G$88=$T$131</formula>
    </cfRule>
    <cfRule type="expression" dxfId="714" priority="170" stopIfTrue="1">
      <formula>OR($G$86=$R$133,$G$86=$R$132,$G$88=$T$130)</formula>
    </cfRule>
  </conditionalFormatting>
  <conditionalFormatting sqref="B91">
    <cfRule type="expression" dxfId="713" priority="166" stopIfTrue="1">
      <formula>OR($G$86=$R$133,$G$86=$R$132,$G$86=$R$130,$G$88=$T$130)</formula>
    </cfRule>
    <cfRule type="expression" dxfId="712" priority="167" stopIfTrue="1">
      <formula>$G$88=$T$132</formula>
    </cfRule>
  </conditionalFormatting>
  <conditionalFormatting sqref="C91:G91">
    <cfRule type="expression" dxfId="711" priority="164" stopIfTrue="1">
      <formula>$G$88=$T$132</formula>
    </cfRule>
    <cfRule type="expression" dxfId="710" priority="165" stopIfTrue="1">
      <formula>OR($G$86=$R$133,$G$86=$R$132,$G$86=$R$130,$G$88=$T$130)</formula>
    </cfRule>
  </conditionalFormatting>
  <conditionalFormatting sqref="D58">
    <cfRule type="expression" dxfId="709" priority="161" stopIfTrue="1">
      <formula>E58="n/a"</formula>
    </cfRule>
    <cfRule type="expression" dxfId="708" priority="162" stopIfTrue="1">
      <formula>$F$23="No"</formula>
    </cfRule>
  </conditionalFormatting>
  <conditionalFormatting sqref="F58">
    <cfRule type="expression" dxfId="707" priority="159" stopIfTrue="1">
      <formula>E58="n/a"</formula>
    </cfRule>
    <cfRule type="expression" dxfId="706" priority="160" stopIfTrue="1">
      <formula>$F$23="No"</formula>
    </cfRule>
  </conditionalFormatting>
  <conditionalFormatting sqref="G58">
    <cfRule type="expression" dxfId="705" priority="157" stopIfTrue="1">
      <formula>E58="n/a"</formula>
    </cfRule>
    <cfRule type="expression" dxfId="704" priority="158" stopIfTrue="1">
      <formula>$F$23="No"</formula>
    </cfRule>
  </conditionalFormatting>
  <conditionalFormatting sqref="B55:B57 D55:D57">
    <cfRule type="expression" dxfId="703" priority="155" stopIfTrue="1">
      <formula>E55="n/a"</formula>
    </cfRule>
    <cfRule type="expression" dxfId="702" priority="156" stopIfTrue="1">
      <formula>$F$23="no"</formula>
    </cfRule>
  </conditionalFormatting>
  <conditionalFormatting sqref="G55:G57 C55:C57 C59:C60">
    <cfRule type="expression" dxfId="701" priority="153" stopIfTrue="1">
      <formula>E55="n/a"</formula>
    </cfRule>
    <cfRule type="expression" dxfId="700" priority="154" stopIfTrue="1">
      <formula>$F$23="no"</formula>
    </cfRule>
  </conditionalFormatting>
  <conditionalFormatting sqref="F55:F57">
    <cfRule type="expression" dxfId="699" priority="151" stopIfTrue="1">
      <formula>E55="n/a"</formula>
    </cfRule>
    <cfRule type="expression" dxfId="698" priority="152" stopIfTrue="1">
      <formula>$F$23="no"</formula>
    </cfRule>
  </conditionalFormatting>
  <conditionalFormatting sqref="E58">
    <cfRule type="expression" dxfId="697" priority="149" stopIfTrue="1">
      <formula>E58="n/a"</formula>
    </cfRule>
    <cfRule type="expression" dxfId="696" priority="150" stopIfTrue="1">
      <formula>$F$23="No"</formula>
    </cfRule>
  </conditionalFormatting>
  <conditionalFormatting sqref="E55:E57">
    <cfRule type="expression" dxfId="695" priority="147" stopIfTrue="1">
      <formula>#REF!="n/a"</formula>
    </cfRule>
    <cfRule type="expression" dxfId="694" priority="148" stopIfTrue="1">
      <formula>$F$23="no"</formula>
    </cfRule>
  </conditionalFormatting>
  <conditionalFormatting sqref="E59:E60">
    <cfRule type="expression" dxfId="693" priority="146" stopIfTrue="1">
      <formula>$F$23="No"</formula>
    </cfRule>
  </conditionalFormatting>
  <conditionalFormatting sqref="D75 C74:D74">
    <cfRule type="expression" dxfId="692" priority="142" stopIfTrue="1">
      <formula>(OR($G$67=$R$133,$G$67=$R$132,$G$67=$R$130))</formula>
    </cfRule>
    <cfRule type="expression" dxfId="691" priority="143" stopIfTrue="1">
      <formula>$F$23=$R$132</formula>
    </cfRule>
  </conditionalFormatting>
  <conditionalFormatting sqref="C75">
    <cfRule type="expression" dxfId="690" priority="140" stopIfTrue="1">
      <formula>(OR($G$67=$R$133,$G$67=$R$132,$G$67=$R$130))</formula>
    </cfRule>
    <cfRule type="expression" dxfId="689" priority="141" stopIfTrue="1">
      <formula>$F$23=$R$132</formula>
    </cfRule>
  </conditionalFormatting>
  <conditionalFormatting sqref="F103">
    <cfRule type="expression" dxfId="688" priority="463" stopIfTrue="1">
      <formula>B30=S132</formula>
    </cfRule>
    <cfRule type="expression" dxfId="687" priority="464" stopIfTrue="1">
      <formula>AND((OR($G$86=$R$132,$G$86=$R$133,$G$86=$R$130)),(OR($G$67=$R$132,$G$67=$R$133,$G$67=$R$130)))</formula>
    </cfRule>
    <cfRule type="expression" dxfId="686" priority="465" stopIfTrue="1">
      <formula>$E$103=$R$132</formula>
    </cfRule>
  </conditionalFormatting>
  <conditionalFormatting sqref="D41">
    <cfRule type="expression" dxfId="685" priority="466" stopIfTrue="1">
      <formula>OR($D$40=$Q$132,$D$40=$Q$130)</formula>
    </cfRule>
  </conditionalFormatting>
  <conditionalFormatting sqref="B34:B35 B37:B38 C35:D35 C34:G34 C38:D38 C37:G37 B40:B41 C41 C40:G40">
    <cfRule type="expression" dxfId="684" priority="467" stopIfTrue="1">
      <formula>$B$30=$S$132</formula>
    </cfRule>
  </conditionalFormatting>
  <conditionalFormatting sqref="G103">
    <cfRule type="expression" dxfId="683" priority="476" stopIfTrue="1">
      <formula>B30=S132</formula>
    </cfRule>
    <cfRule type="expression" dxfId="682" priority="477" stopIfTrue="1">
      <formula>AND((OR($G$86=$R$132,$G$86=$R$133,$G$86=$R$130)),(OR($G$67=$R$132,$G$67=$R$133,$G$67=$R$130)))</formula>
    </cfRule>
    <cfRule type="expression" dxfId="681" priority="478" stopIfTrue="1">
      <formula>$E$103=$R$132</formula>
    </cfRule>
  </conditionalFormatting>
  <conditionalFormatting sqref="D103">
    <cfRule type="expression" dxfId="680" priority="479" stopIfTrue="1">
      <formula>B30=S132</formula>
    </cfRule>
    <cfRule type="expression" dxfId="679" priority="480" stopIfTrue="1">
      <formula>AND((OR($G$86=$R$132,$G$86=$R$133,$G$86=$R$130)),(OR($G$67=$R$132,$G$67=$R$133,$G$67=$R$130)))</formula>
    </cfRule>
  </conditionalFormatting>
  <conditionalFormatting sqref="E103">
    <cfRule type="expression" dxfId="678" priority="481" stopIfTrue="1">
      <formula>B30=S132</formula>
    </cfRule>
    <cfRule type="expression" dxfId="677" priority="482" stopIfTrue="1">
      <formula>AND((OR($G$86=$R$132,$G$86=$R$133,$G$86=$R$130)),(OR($G$67=$R$132,$G$67=$R$133,$G$67=$R$130)))</formula>
    </cfRule>
  </conditionalFormatting>
  <conditionalFormatting sqref="F74">
    <cfRule type="expression" dxfId="676" priority="483" stopIfTrue="1">
      <formula>$F$23=$R$132</formula>
    </cfRule>
    <cfRule type="expression" dxfId="675" priority="484" stopIfTrue="1">
      <formula>(OR($G$67=$R$133,$G$67=$R$132,$G$67=$R$130))</formula>
    </cfRule>
    <cfRule type="expression" dxfId="674" priority="485" stopIfTrue="1">
      <formula>E74=$R$132</formula>
    </cfRule>
  </conditionalFormatting>
  <conditionalFormatting sqref="G74">
    <cfRule type="expression" dxfId="673" priority="486" stopIfTrue="1">
      <formula>(OR($G$67=$R$133,$G$67=$R$132,$G$67=$R$130))</formula>
    </cfRule>
    <cfRule type="expression" dxfId="672" priority="487" stopIfTrue="1">
      <formula>$F$23=$R$132</formula>
    </cfRule>
    <cfRule type="expression" dxfId="671" priority="488" stopIfTrue="1">
      <formula>E74=$R$132</formula>
    </cfRule>
  </conditionalFormatting>
  <conditionalFormatting sqref="F75">
    <cfRule type="expression" dxfId="670" priority="489" stopIfTrue="1">
      <formula>(OR($G$67=$R$133,$G$67=$R$132,$G$67=$R$130))</formula>
    </cfRule>
    <cfRule type="expression" dxfId="669" priority="490" stopIfTrue="1">
      <formula>E75=$R$132</formula>
    </cfRule>
    <cfRule type="expression" dxfId="668" priority="491" stopIfTrue="1">
      <formula>$F$23=$R$132</formula>
    </cfRule>
  </conditionalFormatting>
  <conditionalFormatting sqref="G75">
    <cfRule type="expression" dxfId="667" priority="492" stopIfTrue="1">
      <formula>E75=$R$132</formula>
    </cfRule>
    <cfRule type="expression" dxfId="666" priority="493" stopIfTrue="1">
      <formula>$F$23=$R$132</formula>
    </cfRule>
    <cfRule type="expression" dxfId="665" priority="494" stopIfTrue="1">
      <formula>(OR($G$67=$R$133,$G$67=$R$132,$G$67=$R$130))</formula>
    </cfRule>
  </conditionalFormatting>
  <conditionalFormatting sqref="G19">
    <cfRule type="expression" dxfId="664" priority="13" stopIfTrue="1">
      <formula>F19=$R$131</formula>
    </cfRule>
    <cfRule type="expression" dxfId="663" priority="498" stopIfTrue="1">
      <formula>AND(OR($F$19=$R$132,$F$19=$R$130),$G$19&gt;0)</formula>
    </cfRule>
  </conditionalFormatting>
  <conditionalFormatting sqref="C13">
    <cfRule type="expression" dxfId="662" priority="499" stopIfTrue="1">
      <formula>$B$13=$S$134</formula>
    </cfRule>
  </conditionalFormatting>
  <conditionalFormatting sqref="G25">
    <cfRule type="expression" dxfId="661" priority="7" stopIfTrue="1">
      <formula>F25=$R$131</formula>
    </cfRule>
    <cfRule type="expression" dxfId="660" priority="496" stopIfTrue="1">
      <formula>AND(OR($F$25=$R$132,$F$25=$R$130),$G$25&gt;0)</formula>
    </cfRule>
  </conditionalFormatting>
  <conditionalFormatting sqref="F73">
    <cfRule type="expression" dxfId="659" priority="85" stopIfTrue="1">
      <formula>$F$22=$R$132</formula>
    </cfRule>
    <cfRule type="expression" dxfId="658" priority="187" stopIfTrue="1">
      <formula>E73=$R$132</formula>
    </cfRule>
    <cfRule type="expression" dxfId="657" priority="188" stopIfTrue="1">
      <formula>(OR($G$67=$R$133,$G$67=$R$132,$G$67=$R$130))</formula>
    </cfRule>
  </conditionalFormatting>
  <conditionalFormatting sqref="C73">
    <cfRule type="expression" dxfId="656" priority="57" stopIfTrue="1">
      <formula>(OR($G$67=$R$133,$G$67=$R$132,$G$67=$R$130))</formula>
    </cfRule>
    <cfRule type="expression" dxfId="655" priority="88" stopIfTrue="1">
      <formula>$F$22=$R$132</formula>
    </cfRule>
  </conditionalFormatting>
  <conditionalFormatting sqref="D73">
    <cfRule type="expression" dxfId="654" priority="56" stopIfTrue="1">
      <formula>(OR($G$67=$R$133,$G$67=$R$132,$G$67=$R$130))</formula>
    </cfRule>
    <cfRule type="expression" dxfId="653" priority="87" stopIfTrue="1">
      <formula>$F$22=$R$132</formula>
    </cfRule>
  </conditionalFormatting>
  <conditionalFormatting sqref="G73">
    <cfRule type="expression" dxfId="652" priority="19" stopIfTrue="1">
      <formula>E73=$R$132</formula>
    </cfRule>
    <cfRule type="expression" dxfId="651" priority="54" stopIfTrue="1">
      <formula>(OR($G$67=$R$133,$G$67=$R$132,$G$67=$R$130))</formula>
    </cfRule>
    <cfRule type="expression" dxfId="650" priority="84" stopIfTrue="1">
      <formula>$F$22=$R$132</formula>
    </cfRule>
  </conditionalFormatting>
  <conditionalFormatting sqref="F70">
    <cfRule type="expression" dxfId="649" priority="82" stopIfTrue="1">
      <formula>(OR($G$67=$R$133,$G$67=$R$132,$G$67=$R$130))</formula>
    </cfRule>
    <cfRule type="expression" dxfId="648" priority="83" stopIfTrue="1">
      <formula>E70=$R$132</formula>
    </cfRule>
  </conditionalFormatting>
  <conditionalFormatting sqref="F71">
    <cfRule type="expression" dxfId="647" priority="79" stopIfTrue="1">
      <formula>E71=$R$132</formula>
    </cfRule>
    <cfRule type="expression" dxfId="646" priority="81" stopIfTrue="1">
      <formula>(OR($G$67=$R$133,$G$67=$R$132,$G$67=$R$130))</formula>
    </cfRule>
  </conditionalFormatting>
  <conditionalFormatting sqref="F72">
    <cfRule type="expression" dxfId="645" priority="44" stopIfTrue="1">
      <formula>$F$22=$R$132</formula>
    </cfRule>
    <cfRule type="expression" dxfId="644" priority="78" stopIfTrue="1">
      <formula>E72=$R$132</formula>
    </cfRule>
    <cfRule type="expression" dxfId="643" priority="80" stopIfTrue="1">
      <formula>(OR($G$67=$R$133,$G$67=$R$132,$G$67=$R$130))</formula>
    </cfRule>
  </conditionalFormatting>
  <conditionalFormatting sqref="F13">
    <cfRule type="expression" dxfId="642" priority="77" stopIfTrue="1">
      <formula>$B$13=$S$134</formula>
    </cfRule>
  </conditionalFormatting>
  <conditionalFormatting sqref="G13">
    <cfRule type="expression" dxfId="641" priority="76" stopIfTrue="1">
      <formula>$B$13=$S$134</formula>
    </cfRule>
  </conditionalFormatting>
  <conditionalFormatting sqref="C14:F14">
    <cfRule type="expression" dxfId="640" priority="75" stopIfTrue="1">
      <formula>$B$13=$S$134</formula>
    </cfRule>
  </conditionalFormatting>
  <conditionalFormatting sqref="G14">
    <cfRule type="expression" dxfId="639" priority="74" stopIfTrue="1">
      <formula>$B$13=$S$134</formula>
    </cfRule>
  </conditionalFormatting>
  <conditionalFormatting sqref="F15">
    <cfRule type="expression" dxfId="638" priority="73" stopIfTrue="1">
      <formula>$B$13=$S$134</formula>
    </cfRule>
  </conditionalFormatting>
  <conditionalFormatting sqref="G15">
    <cfRule type="expression" dxfId="637" priority="72" stopIfTrue="1">
      <formula>$B$13=$S$134</formula>
    </cfRule>
  </conditionalFormatting>
  <conditionalFormatting sqref="F16">
    <cfRule type="expression" dxfId="636" priority="71" stopIfTrue="1">
      <formula>$B$13=$S$134</formula>
    </cfRule>
  </conditionalFormatting>
  <conditionalFormatting sqref="G16">
    <cfRule type="expression" dxfId="635" priority="70" stopIfTrue="1">
      <formula>$B$13=$S$134</formula>
    </cfRule>
  </conditionalFormatting>
  <conditionalFormatting sqref="B58">
    <cfRule type="expression" dxfId="634" priority="68" stopIfTrue="1">
      <formula>$F$23="No"</formula>
    </cfRule>
    <cfRule type="expression" dxfId="633" priority="69" stopIfTrue="1">
      <formula>E58="n/a"</formula>
    </cfRule>
  </conditionalFormatting>
  <conditionalFormatting sqref="E70">
    <cfRule type="expression" dxfId="632" priority="67" stopIfTrue="1">
      <formula>(OR($G$67=$R$133,$G$67=$R$132,$G$67=$R$130))</formula>
    </cfRule>
  </conditionalFormatting>
  <conditionalFormatting sqref="G70">
    <cfRule type="expression" dxfId="631" priority="22" stopIfTrue="1">
      <formula>E70=$R$132</formula>
    </cfRule>
    <cfRule type="expression" dxfId="630" priority="66" stopIfTrue="1">
      <formula>(OR($G$67=$R$133,$G$67=$R$132,$G$67=$R$130))</formula>
    </cfRule>
  </conditionalFormatting>
  <conditionalFormatting sqref="C71">
    <cfRule type="expression" dxfId="629" priority="65" stopIfTrue="1">
      <formula>(OR($G$67=$R$133,$G$67=$R$132,$G$67=$R$130))</formula>
    </cfRule>
  </conditionalFormatting>
  <conditionalFormatting sqref="D71">
    <cfRule type="expression" dxfId="628" priority="64" stopIfTrue="1">
      <formula>(OR($G$67=$R$133,$G$67=$R$132,$G$67=$R$130))</formula>
    </cfRule>
  </conditionalFormatting>
  <conditionalFormatting sqref="E71">
    <cfRule type="expression" dxfId="627" priority="63" stopIfTrue="1">
      <formula>(OR($G$67=$R$133,$G$67=$R$132,$G$67=$R$130))</formula>
    </cfRule>
  </conditionalFormatting>
  <conditionalFormatting sqref="G71">
    <cfRule type="expression" dxfId="626" priority="21" stopIfTrue="1">
      <formula>E71=$R$132</formula>
    </cfRule>
    <cfRule type="expression" dxfId="625" priority="62" stopIfTrue="1">
      <formula>(OR($G$67=$R$133,$G$67=$R$132,$G$67=$R$130))</formula>
    </cfRule>
  </conditionalFormatting>
  <conditionalFormatting sqref="C72">
    <cfRule type="expression" dxfId="624" priority="47" stopIfTrue="1">
      <formula>$F$22=$R$132</formula>
    </cfRule>
    <cfRule type="expression" dxfId="623" priority="61" stopIfTrue="1">
      <formula>(OR($G$67=$R$133,$G$67=$R$132,$G$67=$R$130))</formula>
    </cfRule>
  </conditionalFormatting>
  <conditionalFormatting sqref="D72">
    <cfRule type="expression" dxfId="622" priority="46" stopIfTrue="1">
      <formula>$F$22=$R$132</formula>
    </cfRule>
    <cfRule type="expression" dxfId="621" priority="60" stopIfTrue="1">
      <formula>(OR($G$67=$R$133,$G$67=$R$132,$G$67=$R$130))</formula>
    </cfRule>
  </conditionalFormatting>
  <conditionalFormatting sqref="E72">
    <cfRule type="expression" dxfId="620" priority="45" stopIfTrue="1">
      <formula>$F$22=$R$132</formula>
    </cfRule>
    <cfRule type="expression" dxfId="619" priority="59" stopIfTrue="1">
      <formula>(OR($G$67=$R$133,$G$67=$R$132,$G$67=$R$130))</formula>
    </cfRule>
  </conditionalFormatting>
  <conditionalFormatting sqref="G72">
    <cfRule type="expression" dxfId="618" priority="20" stopIfTrue="1">
      <formula>E72=$R$132</formula>
    </cfRule>
    <cfRule type="expression" dxfId="617" priority="43" stopIfTrue="1">
      <formula>$F$22=$R$132</formula>
    </cfRule>
    <cfRule type="expression" dxfId="616" priority="58" stopIfTrue="1">
      <formula>(OR($G$67=$R$133,$G$67=$R$132,$G$67=$R$130))</formula>
    </cfRule>
  </conditionalFormatting>
  <conditionalFormatting sqref="C79">
    <cfRule type="expression" dxfId="615" priority="53" stopIfTrue="1">
      <formula>(OR($G$67=$R$133,$G$67=$R$132,$G$67=$R$130))</formula>
    </cfRule>
  </conditionalFormatting>
  <conditionalFormatting sqref="D79">
    <cfRule type="expression" dxfId="614" priority="52" stopIfTrue="1">
      <formula>(OR($G$67=$R$133,$G$67=$R$132,$G$67=$R$130))</formula>
    </cfRule>
  </conditionalFormatting>
  <conditionalFormatting sqref="E79">
    <cfRule type="expression" dxfId="613" priority="51" stopIfTrue="1">
      <formula>(OR($G$67=$R$133,$G$67=$R$132,$G$67=$R$130))</formula>
    </cfRule>
  </conditionalFormatting>
  <conditionalFormatting sqref="F79">
    <cfRule type="expression" dxfId="612" priority="50" stopIfTrue="1">
      <formula>(OR($G$67=$R$133,$G$67=$R$132,$G$67=$R$130))</formula>
    </cfRule>
  </conditionalFormatting>
  <conditionalFormatting sqref="G79">
    <cfRule type="expression" dxfId="611" priority="49" stopIfTrue="1">
      <formula>(OR($G$67=$R$133,$G$67=$R$132,$G$67=$R$130))</formula>
    </cfRule>
  </conditionalFormatting>
  <conditionalFormatting sqref="G82">
    <cfRule type="expression" dxfId="610" priority="48" stopIfTrue="1">
      <formula>(OR($G$67=$R$133,$G$67=$R$132,$G$67=$R$130))</formula>
    </cfRule>
  </conditionalFormatting>
  <conditionalFormatting sqref="B59">
    <cfRule type="expression" dxfId="609" priority="42" stopIfTrue="1">
      <formula>$F$23="no"</formula>
    </cfRule>
  </conditionalFormatting>
  <conditionalFormatting sqref="B60">
    <cfRule type="expression" dxfId="608" priority="41" stopIfTrue="1">
      <formula>$F$23="no"</formula>
    </cfRule>
  </conditionalFormatting>
  <conditionalFormatting sqref="D59">
    <cfRule type="expression" dxfId="607" priority="40" stopIfTrue="1">
      <formula>$F$23="no"</formula>
    </cfRule>
  </conditionalFormatting>
  <conditionalFormatting sqref="D60">
    <cfRule type="expression" dxfId="606" priority="39" stopIfTrue="1">
      <formula>$F$23="no"</formula>
    </cfRule>
  </conditionalFormatting>
  <conditionalFormatting sqref="F59">
    <cfRule type="expression" dxfId="605" priority="38" stopIfTrue="1">
      <formula>$F$23="no"</formula>
    </cfRule>
  </conditionalFormatting>
  <conditionalFormatting sqref="F60">
    <cfRule type="expression" dxfId="604" priority="37" stopIfTrue="1">
      <formula>$F$23="no"</formula>
    </cfRule>
  </conditionalFormatting>
  <conditionalFormatting sqref="G59">
    <cfRule type="expression" dxfId="603" priority="36" stopIfTrue="1">
      <formula>$F$23="no"</formula>
    </cfRule>
  </conditionalFormatting>
  <conditionalFormatting sqref="G60">
    <cfRule type="expression" dxfId="602" priority="35" stopIfTrue="1">
      <formula>$F$23="no"</formula>
    </cfRule>
  </conditionalFormatting>
  <conditionalFormatting sqref="B52">
    <cfRule type="expression" dxfId="601" priority="34" stopIfTrue="1">
      <formula>$F$22="no"</formula>
    </cfRule>
  </conditionalFormatting>
  <conditionalFormatting sqref="C52">
    <cfRule type="expression" dxfId="600" priority="33" stopIfTrue="1">
      <formula>$F$22="no"</formula>
    </cfRule>
  </conditionalFormatting>
  <conditionalFormatting sqref="D52">
    <cfRule type="expression" dxfId="599" priority="32" stopIfTrue="1">
      <formula>$F$22="no"</formula>
    </cfRule>
  </conditionalFormatting>
  <conditionalFormatting sqref="E52">
    <cfRule type="expression" dxfId="598" priority="31" stopIfTrue="1">
      <formula>$F$22="no"</formula>
    </cfRule>
  </conditionalFormatting>
  <conditionalFormatting sqref="F52">
    <cfRule type="expression" dxfId="597" priority="30" stopIfTrue="1">
      <formula>$F$22="no"</formula>
    </cfRule>
  </conditionalFormatting>
  <conditionalFormatting sqref="G52">
    <cfRule type="expression" dxfId="596" priority="29" stopIfTrue="1">
      <formula>$F$22="no"</formula>
    </cfRule>
  </conditionalFormatting>
  <conditionalFormatting sqref="B53">
    <cfRule type="expression" dxfId="595" priority="28" stopIfTrue="1">
      <formula>$F$22="no"</formula>
    </cfRule>
  </conditionalFormatting>
  <conditionalFormatting sqref="C53">
    <cfRule type="expression" dxfId="594" priority="27" stopIfTrue="1">
      <formula>$F$22="no"</formula>
    </cfRule>
  </conditionalFormatting>
  <conditionalFormatting sqref="D53">
    <cfRule type="expression" dxfId="593" priority="26" stopIfTrue="1">
      <formula>$F$22="no"</formula>
    </cfRule>
  </conditionalFormatting>
  <conditionalFormatting sqref="E53">
    <cfRule type="expression" dxfId="592" priority="25" stopIfTrue="1">
      <formula>$F$22="no"</formula>
    </cfRule>
  </conditionalFormatting>
  <conditionalFormatting sqref="F53">
    <cfRule type="expression" dxfId="591" priority="24" stopIfTrue="1">
      <formula>$F$22="no"</formula>
    </cfRule>
  </conditionalFormatting>
  <conditionalFormatting sqref="G53">
    <cfRule type="expression" dxfId="590" priority="23" stopIfTrue="1">
      <formula>$F$22="no"</formula>
    </cfRule>
  </conditionalFormatting>
  <conditionalFormatting sqref="G20">
    <cfRule type="expression" dxfId="589" priority="12" stopIfTrue="1">
      <formula>F20=$R$131</formula>
    </cfRule>
    <cfRule type="expression" dxfId="588" priority="18" stopIfTrue="1">
      <formula>AND(OR($F$20=$R$132,$F$20=$R$130),$G$20&gt;0)</formula>
    </cfRule>
  </conditionalFormatting>
  <conditionalFormatting sqref="G21">
    <cfRule type="expression" dxfId="587" priority="11" stopIfTrue="1">
      <formula>F21=$R$131</formula>
    </cfRule>
    <cfRule type="expression" dxfId="586" priority="17" stopIfTrue="1">
      <formula>AND(OR($F$21=$R$132,$F$21=$R$130),$G$21&gt;0)</formula>
    </cfRule>
  </conditionalFormatting>
  <conditionalFormatting sqref="G22">
    <cfRule type="expression" dxfId="585" priority="10" stopIfTrue="1">
      <formula>F22=$R$131</formula>
    </cfRule>
    <cfRule type="expression" dxfId="584" priority="16" stopIfTrue="1">
      <formula>AND(OR($F$22=$R$132,$F$22=$R$130),$G$22&gt;0)</formula>
    </cfRule>
  </conditionalFormatting>
  <conditionalFormatting sqref="G23">
    <cfRule type="expression" dxfId="583" priority="9" stopIfTrue="1">
      <formula>F23=$R$131</formula>
    </cfRule>
    <cfRule type="expression" dxfId="582" priority="15" stopIfTrue="1">
      <formula>AND(OR($F$23=$R$132,$F$23=$R$130),$G$23&gt;0)</formula>
    </cfRule>
  </conditionalFormatting>
  <conditionalFormatting sqref="G24">
    <cfRule type="expression" dxfId="581" priority="8" stopIfTrue="1">
      <formula>F24=$R$131</formula>
    </cfRule>
    <cfRule type="expression" dxfId="580" priority="14" stopIfTrue="1">
      <formula>AND(OR($F$24=$R$132,$F$24=$R$130),$G$24&gt;0)</formula>
    </cfRule>
  </conditionalFormatting>
  <conditionalFormatting sqref="E73">
    <cfRule type="expression" dxfId="579" priority="5" stopIfTrue="1">
      <formula>$F$22=$R$132</formula>
    </cfRule>
    <cfRule type="expression" dxfId="578" priority="6" stopIfTrue="1">
      <formula>(OR($G$67=$R$133,$G$67=$R$132,$G$67=$R$130))</formula>
    </cfRule>
  </conditionalFormatting>
  <conditionalFormatting sqref="E74">
    <cfRule type="expression" dxfId="577" priority="3" stopIfTrue="1">
      <formula>$F$22=$R$132</formula>
    </cfRule>
    <cfRule type="expression" dxfId="576" priority="4" stopIfTrue="1">
      <formula>(OR($G$67=$R$133,$G$67=$R$132,$G$67=$R$130))</formula>
    </cfRule>
  </conditionalFormatting>
  <conditionalFormatting sqref="E75">
    <cfRule type="expression" dxfId="575" priority="1" stopIfTrue="1">
      <formula>$F$22=$R$132</formula>
    </cfRule>
    <cfRule type="expression" dxfId="574" priority="2" stopIfTrue="1">
      <formula>(OR($G$67=$R$133,$G$67=$R$132,$G$67=$R$130))</formula>
    </cfRule>
  </conditionalFormatting>
  <dataValidations xWindow="868" yWindow="535" count="24">
    <dataValidation type="list" operator="lessThanOrEqual" allowBlank="1" showInputMessage="1" showErrorMessage="1" sqref="G110" xr:uid="{00000000-0002-0000-0700-000000000000}">
      <formula1>$U$130:$U$230</formula1>
    </dataValidation>
    <dataValidation type="list" showInputMessage="1" showErrorMessage="1" sqref="G107 F19:F25" xr:uid="{00000000-0002-0000-0700-000001000000}">
      <formula1>$R$130:$R$132</formula1>
    </dataValidation>
    <dataValidation type="list" showInputMessage="1" showErrorMessage="1" sqref="E102:E103 E70:E74 E76" xr:uid="{00000000-0002-0000-0700-000002000000}">
      <formula1>$R$131:$R$132</formula1>
    </dataValidation>
    <dataValidation type="list" allowBlank="1" showInputMessage="1" showErrorMessage="1" sqref="F76:F77" xr:uid="{00000000-0002-0000-0700-000003000000}">
      <formula1>$Z$138:$Z$261</formula1>
    </dataValidation>
    <dataValidation allowBlank="1" showInputMessage="1" showErrorMessage="1" prompt="Insert the daily rainfall collected (and therefore used) in litres determined in accordance with BS8515 'Detailed Approach&quot;." sqref="F94" xr:uid="{00000000-0002-0000-0700-000004000000}"/>
    <dataValidation type="list" showInputMessage="1" showErrorMessage="1" sqref="G88" xr:uid="{00000000-0002-0000-0700-000005000000}">
      <formula1>$T$130:$T$132</formula1>
    </dataValidation>
    <dataValidation type="list" showInputMessage="1" showErrorMessage="1" sqref="G86 G67" xr:uid="{00000000-0002-0000-0700-000006000000}">
      <formula1>$R$130:$R$133</formula1>
    </dataValidation>
    <dataValidation allowBlank="1" showInputMessage="1" showErrorMessage="1" prompt="If frequency of yield occurs every day, then state 1, if every 5 days then state 5 etc." sqref="E79" xr:uid="{00000000-0002-0000-0700-000007000000}"/>
    <dataValidation type="list" showInputMessage="1" showErrorMessage="1" prompt="Only include greywater collected from the dishwasher for other uses e.g. toilet flushing/irrigation. Water re-used within the dishwasher i.e. final rinse water used for the pre-wash of the next load should not be counted within this calculation." sqref="E75" xr:uid="{00000000-0002-0000-0700-000008000000}">
      <formula1>$R$131:$R$132</formula1>
    </dataValidation>
    <dataValidation type="list" showInputMessage="1" showErrorMessage="1" prompt="Only include greywater collected from the washing machine for other uses e.g. toilet flushing/irrigation. Water re-used within the washing machine i.e. final rinse water used for the pre-wash of the next load should not be counted within this calculation." sqref="E77" xr:uid="{00000000-0002-0000-0700-000009000000}">
      <formula1>$R$131:$R$132</formula1>
    </dataValidation>
    <dataValidation type="list" allowBlank="1" showInputMessage="1" showErrorMessage="1" sqref="F102:F103 F70:F75" xr:uid="{00000000-0002-0000-0700-00000A000000}">
      <formula1>$U$130:$U$230</formula1>
    </dataValidation>
    <dataValidation allowBlank="1" showInputMessage="1" showErrorMessage="1" prompt="Enter the litres per flush per bowl._x000a__x000a_Important: If component is not specified, leave cell blank i.e. empty of figure." sqref="D37" xr:uid="{00000000-0002-0000-0700-00000B000000}"/>
    <dataValidation type="list" allowBlank="1" showInputMessage="1" showErrorMessage="1" sqref="D40" xr:uid="{00000000-0002-0000-0700-00000C000000}">
      <formula1>$Q$130:$Q$132</formula1>
    </dataValidation>
    <dataValidation type="list" showInputMessage="1" showErrorMessage="1" sqref="B30" xr:uid="{00000000-0002-0000-0700-00000D000000}">
      <formula1>$S$130:$S$132</formula1>
    </dataValidation>
    <dataValidation allowBlank="1" showInputMessage="1" showErrorMessage="1" prompt="Enter the total number of urinal's in the building that are classed as waterless urinals." sqref="D41" xr:uid="{00000000-0002-0000-0700-00000E000000}"/>
    <dataValidation allowBlank="1" showInputMessage="1" showErrorMessage="1" prompt="Enter the total number of urinal's in the building that use this type of flushing control." sqref="D38" xr:uid="{00000000-0002-0000-0700-00000F000000}"/>
    <dataValidation allowBlank="1" showInputMessage="1" showErrorMessage="1" prompt="Enter the total number of urinal's in the building that use this type of flushing control_x000a__x000a_Where a urinal slab is specified, use a default of one urinal for each 700mm width of urinal slab." sqref="D35" xr:uid="{00000000-0002-0000-0700-000010000000}"/>
    <dataValidation allowBlank="1" showInputMessage="1" showErrorMessage="1" prompt="Enter the capacity (in litres) of the cistern specified for supplying water for urinal flushing purposes._x000a__x000a_Important: If component is not specified, leave cell blank i.e. empty of figure." sqref="D34" xr:uid="{00000000-0002-0000-0700-000011000000}"/>
    <dataValidation allowBlank="1" showInputMessage="1" showErrorMessage="1" prompt="Enter the total number of cisterns specified (at specifed capacity) in building." sqref="E34" xr:uid="{00000000-0002-0000-0700-000012000000}"/>
    <dataValidation allowBlank="1" showInputMessage="1" showErrorMessage="1" prompt="Enter the effective flush volume for the WCs specified._x000a__x000a_Important: If component is not specified, leave cell blank i.e. empty of figure._x000a__x000a_Refer to the technical guide for a definition oof effective flush volume and how to calculate it." sqref="D30:D31" xr:uid="{00000000-0002-0000-0700-000013000000}"/>
    <dataValidation allowBlank="1" showInputMessage="1" showErrorMessage="1" prompt="Enter the relevant specification._x000a__x000a_Important: If component is not specified, leave cell blank i.e. empty of figure." sqref="D55:D57 D52:D53 D45:D49" xr:uid="{00000000-0002-0000-0700-000014000000}"/>
    <dataValidation type="list" allowBlank="1" showInputMessage="1" showErrorMessage="1" sqref="B13" xr:uid="{00000000-0002-0000-0700-000015000000}">
      <formula1>$S$134:$S$138</formula1>
    </dataValidation>
    <dataValidation type="list" allowBlank="1" showInputMessage="1" showErrorMessage="1" sqref="G14" xr:uid="{00000000-0002-0000-0700-000016000000}">
      <formula1>$R$130:$R$132</formula1>
    </dataValidation>
    <dataValidation type="list" allowBlank="1" showInputMessage="1" showErrorMessage="1" sqref="C10:D10" xr:uid="{00000000-0002-0000-0700-000017000000}">
      <formula1>$R$122:$R$125</formula1>
    </dataValidation>
  </dataValidations>
  <pageMargins left="0.75" right="0.75" top="1" bottom="1" header="0.5" footer="0.5"/>
  <pageSetup paperSize="9" orientation="portrait" r:id="rId1"/>
  <headerFooter alignWithMargins="0"/>
  <ignoredErrors>
    <ignoredError sqref="F13:G13 C13" evalError="1"/>
  </ignoredError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N282"/>
  <sheetViews>
    <sheetView zoomScale="80" zoomScaleNormal="80" workbookViewId="0">
      <pane ySplit="2" topLeftCell="A3" activePane="bottomLeft" state="frozen"/>
      <selection activeCell="M4" sqref="M4"/>
      <selection pane="bottomLeft" activeCell="B3" sqref="B3"/>
    </sheetView>
  </sheetViews>
  <sheetFormatPr defaultColWidth="9.140625" defaultRowHeight="12.75" zeroHeight="1" x14ac:dyDescent="0.2"/>
  <cols>
    <col min="1" max="1" width="5.42578125" style="149" customWidth="1"/>
    <col min="2" max="2" width="36.5703125" style="149" customWidth="1"/>
    <col min="3" max="6" width="28.7109375" style="149" customWidth="1"/>
    <col min="7" max="7" width="28.7109375" style="197" customWidth="1"/>
    <col min="8" max="8" width="5.7109375" style="144" customWidth="1"/>
    <col min="9" max="9" width="10.42578125" style="149" customWidth="1"/>
    <col min="10" max="10" width="42.42578125" style="149" customWidth="1"/>
    <col min="11" max="11" width="31" style="149" customWidth="1"/>
    <col min="12" max="12" width="31" style="149" hidden="1" customWidth="1"/>
    <col min="13" max="13" width="32.28515625" style="149" hidden="1" customWidth="1"/>
    <col min="14" max="14" width="38.28515625" style="149" hidden="1" customWidth="1"/>
    <col min="15" max="15" width="29" style="149" hidden="1" customWidth="1"/>
    <col min="16" max="16" width="31.42578125" style="149" hidden="1" customWidth="1"/>
    <col min="17" max="20" width="29" style="149" hidden="1" customWidth="1"/>
    <col min="21" max="21" width="18.85546875" style="149" hidden="1" customWidth="1"/>
    <col min="22" max="22" width="18.7109375" style="149" hidden="1" customWidth="1"/>
    <col min="23" max="27" width="27.28515625" style="149" hidden="1" customWidth="1"/>
    <col min="28" max="28" width="27.28515625" style="144" hidden="1" customWidth="1"/>
    <col min="29" max="29" width="32.140625" style="146" hidden="1" customWidth="1"/>
    <col min="30" max="30" width="16.5703125" style="144" hidden="1" customWidth="1"/>
    <col min="31" max="31" width="16.5703125" style="144" customWidth="1"/>
    <col min="32" max="32" width="11.28515625" style="144" customWidth="1"/>
    <col min="33" max="39" width="9.140625" style="144" customWidth="1"/>
    <col min="40" max="40" width="9.140625" style="147" customWidth="1"/>
    <col min="41" max="41" width="9.140625" style="144" customWidth="1"/>
    <col min="42" max="16384" width="9.140625" style="144"/>
  </cols>
  <sheetData>
    <row r="1" spans="1:40" ht="13.15" customHeight="1" x14ac:dyDescent="0.2">
      <c r="A1" s="144"/>
      <c r="B1" s="144"/>
      <c r="C1" s="144"/>
      <c r="D1" s="144"/>
      <c r="E1" s="144"/>
      <c r="F1" s="144"/>
      <c r="G1" s="145"/>
      <c r="I1" s="144"/>
      <c r="J1" s="144"/>
      <c r="K1" s="144"/>
      <c r="L1" s="144"/>
      <c r="M1" s="144"/>
      <c r="N1" s="144"/>
      <c r="O1" s="144"/>
      <c r="P1" s="144"/>
      <c r="Q1" s="144"/>
      <c r="R1" s="144"/>
      <c r="S1" s="144"/>
      <c r="T1" s="144"/>
      <c r="U1" s="144"/>
      <c r="V1" s="144"/>
      <c r="W1" s="144"/>
      <c r="X1" s="144"/>
      <c r="Y1" s="144"/>
      <c r="Z1" s="144"/>
      <c r="AA1" s="144"/>
    </row>
    <row r="2" spans="1:40" ht="36" customHeight="1" x14ac:dyDescent="0.2">
      <c r="A2" s="144"/>
      <c r="B2" s="534" t="s">
        <v>1022</v>
      </c>
      <c r="C2" s="505"/>
      <c r="D2" s="505"/>
      <c r="E2" s="505"/>
      <c r="F2" s="505"/>
      <c r="G2" s="505"/>
      <c r="I2" s="144"/>
      <c r="J2" s="144"/>
      <c r="K2" s="144"/>
      <c r="L2" s="144"/>
      <c r="M2" s="144"/>
      <c r="N2" s="144"/>
      <c r="O2" s="144"/>
      <c r="P2" s="144"/>
      <c r="Q2" s="144"/>
      <c r="R2" s="144"/>
      <c r="S2" s="144"/>
      <c r="T2" s="144"/>
      <c r="U2" s="144"/>
      <c r="V2" s="144"/>
      <c r="W2" s="144"/>
      <c r="X2" s="144"/>
      <c r="Y2" s="144"/>
      <c r="Z2" s="144"/>
      <c r="AA2" s="144"/>
    </row>
    <row r="3" spans="1:40" ht="15" customHeight="1" x14ac:dyDescent="0.2">
      <c r="A3" s="144"/>
      <c r="B3" s="144"/>
      <c r="C3" s="144"/>
      <c r="D3" s="144"/>
      <c r="E3" s="144"/>
      <c r="F3" s="144"/>
      <c r="G3" s="144"/>
      <c r="I3" s="144"/>
      <c r="J3" s="144"/>
      <c r="K3" s="144"/>
      <c r="L3" s="144"/>
      <c r="M3" s="144"/>
      <c r="N3" s="144"/>
      <c r="O3" s="144"/>
      <c r="P3" s="144"/>
      <c r="Q3" s="144"/>
      <c r="R3" s="144"/>
      <c r="S3" s="144"/>
      <c r="T3" s="144"/>
      <c r="U3" s="144"/>
      <c r="V3" s="144"/>
      <c r="W3" s="144"/>
      <c r="X3" s="144"/>
      <c r="Y3" s="144"/>
      <c r="Z3" s="144"/>
      <c r="AA3" s="144"/>
    </row>
    <row r="4" spans="1:40" ht="32.1" customHeight="1" x14ac:dyDescent="0.2">
      <c r="A4" s="113"/>
      <c r="B4" s="516" t="s">
        <v>1001</v>
      </c>
      <c r="C4" s="516"/>
      <c r="D4" s="516"/>
      <c r="E4" s="516"/>
      <c r="F4" s="516"/>
      <c r="G4" s="516"/>
      <c r="I4" s="253" t="s">
        <v>672</v>
      </c>
      <c r="J4" s="253"/>
      <c r="K4" s="144"/>
      <c r="L4" s="144"/>
      <c r="M4" s="144"/>
      <c r="N4" s="110"/>
      <c r="O4" s="110"/>
      <c r="P4" s="110"/>
      <c r="Q4" s="110"/>
      <c r="R4" s="110"/>
      <c r="S4" s="110"/>
      <c r="T4" s="110"/>
      <c r="U4" s="110"/>
      <c r="V4" s="110"/>
      <c r="W4" s="110"/>
      <c r="X4" s="110"/>
      <c r="Y4" s="110"/>
      <c r="Z4" s="110"/>
      <c r="AA4" s="110"/>
      <c r="AB4" s="110"/>
      <c r="AC4" s="144"/>
      <c r="AN4" s="144"/>
    </row>
    <row r="5" spans="1:40" ht="15" customHeight="1" x14ac:dyDescent="0.2">
      <c r="A5" s="113"/>
      <c r="B5" s="113"/>
      <c r="C5" s="113"/>
      <c r="D5" s="113"/>
      <c r="E5" s="113"/>
      <c r="F5" s="113"/>
      <c r="G5" s="113"/>
      <c r="I5" s="254"/>
      <c r="J5" s="347" t="str">
        <f>'Office calculator'!J5</f>
        <v>Cells that are white with a black border require user input (data entry/option selection)</v>
      </c>
      <c r="K5" s="144"/>
      <c r="L5" s="144"/>
      <c r="M5" s="144"/>
      <c r="N5" s="110"/>
      <c r="O5" s="110"/>
      <c r="P5" s="110"/>
      <c r="Q5" s="110"/>
      <c r="R5" s="110"/>
      <c r="S5" s="110"/>
      <c r="T5" s="110"/>
      <c r="U5" s="110"/>
      <c r="V5" s="110"/>
      <c r="W5" s="110"/>
      <c r="X5" s="110"/>
      <c r="Y5" s="110"/>
      <c r="Z5" s="110"/>
      <c r="AA5" s="110"/>
      <c r="AB5" s="110"/>
      <c r="AC5" s="110"/>
      <c r="AD5" s="110"/>
      <c r="AN5" s="144"/>
    </row>
    <row r="6" spans="1:40" ht="15" customHeight="1" x14ac:dyDescent="0.2">
      <c r="A6" s="113"/>
      <c r="B6" s="528" t="s">
        <v>675</v>
      </c>
      <c r="C6" s="599"/>
      <c r="D6" s="600"/>
      <c r="E6" s="565"/>
      <c r="F6" s="113"/>
      <c r="G6" s="113"/>
      <c r="I6" s="255"/>
      <c r="J6" s="347" t="s">
        <v>674</v>
      </c>
      <c r="K6" s="253"/>
      <c r="L6" s="253"/>
      <c r="M6" s="507"/>
      <c r="N6" s="110"/>
      <c r="O6" s="110"/>
      <c r="P6" s="110"/>
      <c r="Q6" s="110"/>
      <c r="R6" s="110"/>
      <c r="S6" s="110"/>
      <c r="T6" s="110"/>
      <c r="U6" s="110"/>
      <c r="V6" s="110"/>
      <c r="W6" s="110"/>
      <c r="X6" s="110"/>
      <c r="Y6" s="110"/>
      <c r="Z6" s="110"/>
      <c r="AA6" s="110"/>
      <c r="AB6" s="110"/>
      <c r="AC6" s="110"/>
      <c r="AD6" s="110"/>
      <c r="AN6" s="144"/>
    </row>
    <row r="7" spans="1:40" ht="15" customHeight="1" x14ac:dyDescent="0.2">
      <c r="A7" s="113"/>
      <c r="B7" s="113"/>
      <c r="C7" s="113"/>
      <c r="D7" s="113"/>
      <c r="E7" s="113"/>
      <c r="F7" s="113"/>
      <c r="G7" s="113"/>
      <c r="I7" s="256"/>
      <c r="J7" s="347" t="s">
        <v>763</v>
      </c>
      <c r="K7" s="508"/>
      <c r="L7" s="508"/>
      <c r="M7" s="144"/>
      <c r="N7" s="110"/>
      <c r="O7" s="110"/>
      <c r="P7" s="110"/>
      <c r="Q7" s="110"/>
      <c r="R7" s="110"/>
      <c r="S7" s="110"/>
      <c r="T7" s="110"/>
      <c r="U7" s="110"/>
      <c r="V7" s="110"/>
      <c r="W7" s="110"/>
      <c r="X7" s="110"/>
      <c r="Y7" s="110"/>
      <c r="Z7" s="110"/>
      <c r="AA7" s="110"/>
      <c r="AB7" s="110"/>
      <c r="AC7" s="110"/>
      <c r="AD7" s="110"/>
      <c r="AN7" s="144"/>
    </row>
    <row r="8" spans="1:40" ht="15" customHeight="1" x14ac:dyDescent="0.2">
      <c r="A8" s="113"/>
      <c r="B8" s="531" t="s">
        <v>676</v>
      </c>
      <c r="C8" s="601"/>
      <c r="D8" s="602"/>
      <c r="E8" s="567"/>
      <c r="F8" s="113"/>
      <c r="G8" s="113"/>
      <c r="I8" s="345" t="s">
        <v>759</v>
      </c>
      <c r="J8" s="347"/>
      <c r="K8" s="144"/>
      <c r="L8" s="144"/>
      <c r="M8" s="144"/>
      <c r="N8" s="110"/>
      <c r="O8" s="110"/>
      <c r="P8" s="110"/>
      <c r="Q8" s="110"/>
      <c r="R8" s="110"/>
      <c r="S8" s="110"/>
      <c r="T8" s="110"/>
      <c r="U8" s="110"/>
      <c r="V8" s="110"/>
      <c r="W8" s="110"/>
      <c r="X8" s="110"/>
      <c r="Y8" s="110"/>
      <c r="Z8" s="110"/>
      <c r="AA8" s="110"/>
      <c r="AB8" s="110"/>
      <c r="AC8" s="110"/>
      <c r="AD8" s="110"/>
      <c r="AN8" s="144"/>
    </row>
    <row r="9" spans="1:40" ht="15" customHeight="1" x14ac:dyDescent="0.2">
      <c r="A9" s="113"/>
      <c r="B9" s="113"/>
      <c r="C9" s="564"/>
      <c r="D9" s="565"/>
      <c r="E9" s="565"/>
      <c r="F9" s="113"/>
      <c r="G9" s="113"/>
      <c r="I9" s="566"/>
      <c r="J9" s="347"/>
      <c r="K9" s="144"/>
      <c r="L9" s="144"/>
      <c r="M9" s="144"/>
      <c r="N9" s="110"/>
      <c r="O9" s="110"/>
      <c r="P9" s="110"/>
      <c r="Q9" s="110"/>
      <c r="R9" s="110"/>
      <c r="S9" s="110"/>
      <c r="T9" s="110"/>
      <c r="U9" s="110"/>
      <c r="V9" s="110"/>
      <c r="W9" s="110"/>
      <c r="X9" s="110"/>
      <c r="Y9" s="110"/>
      <c r="Z9" s="110"/>
      <c r="AA9" s="110"/>
      <c r="AB9" s="110"/>
      <c r="AC9" s="110"/>
      <c r="AD9" s="110"/>
      <c r="AN9" s="144"/>
    </row>
    <row r="10" spans="1:40" ht="15" customHeight="1" x14ac:dyDescent="0.2">
      <c r="A10" s="113"/>
      <c r="B10" s="563" t="s">
        <v>961</v>
      </c>
      <c r="C10" s="618" t="s">
        <v>654</v>
      </c>
      <c r="D10" s="618"/>
      <c r="E10" s="567"/>
      <c r="F10" s="113"/>
      <c r="G10" s="113"/>
      <c r="I10" s="566"/>
      <c r="J10" s="347"/>
      <c r="K10" s="144"/>
      <c r="L10" s="144"/>
      <c r="M10" s="144"/>
      <c r="N10" s="110"/>
      <c r="O10" s="110"/>
      <c r="P10" s="110"/>
      <c r="Q10" s="110"/>
      <c r="R10" s="110"/>
      <c r="S10" s="110"/>
      <c r="T10" s="110"/>
      <c r="U10" s="110"/>
      <c r="V10" s="110"/>
      <c r="W10" s="110"/>
      <c r="X10" s="110"/>
      <c r="Y10" s="110"/>
      <c r="Z10" s="110"/>
      <c r="AA10" s="110"/>
      <c r="AB10" s="110"/>
      <c r="AC10" s="110"/>
      <c r="AD10" s="110"/>
      <c r="AN10" s="144"/>
    </row>
    <row r="11" spans="1:40" ht="15" customHeight="1" x14ac:dyDescent="0.2">
      <c r="A11" s="113"/>
      <c r="B11" s="136"/>
      <c r="C11" s="136"/>
      <c r="D11" s="113"/>
      <c r="E11" s="113"/>
      <c r="F11" s="113"/>
      <c r="G11" s="114"/>
      <c r="H11" s="117"/>
      <c r="I11" s="117"/>
      <c r="J11" s="604"/>
      <c r="K11" s="604"/>
      <c r="L11" s="604"/>
      <c r="M11" s="604"/>
      <c r="N11" s="144"/>
      <c r="O11" s="144"/>
      <c r="P11" s="144"/>
      <c r="Q11" s="144"/>
      <c r="R11" s="144"/>
      <c r="S11" s="144"/>
      <c r="T11" s="144"/>
      <c r="U11" s="144"/>
      <c r="V11" s="144"/>
      <c r="W11" s="144"/>
      <c r="X11" s="144"/>
      <c r="Y11" s="144"/>
      <c r="Z11" s="144"/>
      <c r="AA11" s="144"/>
    </row>
    <row r="12" spans="1:40" ht="24.95" customHeight="1" x14ac:dyDescent="0.2">
      <c r="A12" s="113"/>
      <c r="B12" s="535" t="s">
        <v>640</v>
      </c>
      <c r="C12" s="535" t="s">
        <v>641</v>
      </c>
      <c r="D12" s="536"/>
      <c r="E12" s="538" t="s">
        <v>795</v>
      </c>
      <c r="F12" s="539" t="s">
        <v>618</v>
      </c>
      <c r="G12" s="538" t="s">
        <v>388</v>
      </c>
      <c r="H12" s="117"/>
      <c r="I12" s="117"/>
      <c r="J12" s="604"/>
      <c r="K12" s="604"/>
      <c r="L12" s="604"/>
      <c r="M12" s="604"/>
      <c r="N12" s="144"/>
      <c r="O12" s="144"/>
      <c r="P12" s="144"/>
      <c r="Q12" s="144"/>
      <c r="R12" s="144"/>
      <c r="S12" s="144"/>
      <c r="T12" s="144"/>
      <c r="U12" s="144"/>
      <c r="V12" s="144"/>
      <c r="W12" s="150"/>
      <c r="X12" s="150"/>
      <c r="Y12" s="150"/>
      <c r="Z12" s="150"/>
      <c r="AA12" s="150"/>
      <c r="AB12" s="150"/>
      <c r="AC12" s="150"/>
    </row>
    <row r="13" spans="1:40" ht="39.75" customHeight="1" x14ac:dyDescent="0.2">
      <c r="A13" s="346" t="str">
        <f>IF(B13=$Q$129,"&gt;","")</f>
        <v>&gt;</v>
      </c>
      <c r="B13" s="352" t="s">
        <v>654</v>
      </c>
      <c r="C13" s="630" t="e">
        <f>VLOOKUP(B13,'Activity database'!A:B,2,FALSE)</f>
        <v>#N/A</v>
      </c>
      <c r="D13" s="631"/>
      <c r="E13" s="120" t="str">
        <f>IF(ISERROR(O137),Q137,IF(O137=0,Q137,O137))</f>
        <v>Requires building information</v>
      </c>
      <c r="F13" s="116" t="e">
        <f>VLOOKUP(B13,'Activity database'!A:AN,4,FALSE)</f>
        <v>#N/A</v>
      </c>
      <c r="G13" s="116" t="e">
        <f>VLOOKUP(B13,'Activity database'!A:AN,5,FALSE)</f>
        <v>#N/A</v>
      </c>
      <c r="I13" s="144"/>
      <c r="J13" s="144"/>
      <c r="K13" s="144"/>
      <c r="L13" s="144"/>
      <c r="M13" s="144"/>
      <c r="N13" s="144"/>
      <c r="O13" s="144"/>
      <c r="P13" s="144"/>
      <c r="Q13" s="144"/>
      <c r="R13" s="144"/>
      <c r="S13" s="144"/>
      <c r="T13" s="144"/>
      <c r="U13" s="144"/>
      <c r="V13" s="144"/>
      <c r="W13" s="151"/>
      <c r="X13" s="152"/>
      <c r="Y13" s="152"/>
      <c r="Z13" s="152"/>
      <c r="AA13" s="152"/>
      <c r="AB13" s="152"/>
      <c r="AC13" s="152"/>
    </row>
    <row r="14" spans="1:40" ht="30" customHeight="1" x14ac:dyDescent="0.2">
      <c r="A14" s="346" t="str">
        <f>IF(AND(B13=R135,G14=$Q$129),"&gt;","")</f>
        <v/>
      </c>
      <c r="B14" s="113"/>
      <c r="C14" s="208"/>
      <c r="D14" s="292"/>
      <c r="E14" s="292"/>
      <c r="F14" s="134" t="s">
        <v>736</v>
      </c>
      <c r="G14" s="275" t="s">
        <v>654</v>
      </c>
      <c r="H14" s="603" t="str">
        <f>IF(Ind_act=R135,N150,"")</f>
        <v/>
      </c>
      <c r="I14" s="603"/>
      <c r="J14" s="603"/>
      <c r="K14" s="603"/>
      <c r="L14" s="603"/>
      <c r="M14" s="603"/>
      <c r="N14" s="144"/>
      <c r="O14" s="144"/>
      <c r="P14" s="144"/>
      <c r="Q14" s="144"/>
      <c r="R14" s="144"/>
      <c r="S14" s="144"/>
      <c r="T14" s="144"/>
      <c r="U14" s="144"/>
      <c r="V14" s="144"/>
      <c r="W14" s="144"/>
      <c r="Y14" s="144"/>
      <c r="Z14" s="144"/>
      <c r="AA14" s="144"/>
    </row>
    <row r="15" spans="1:40" ht="24.95" customHeight="1" x14ac:dyDescent="0.2">
      <c r="A15" s="113"/>
      <c r="B15" s="546" t="s">
        <v>645</v>
      </c>
      <c r="C15" s="535" t="s">
        <v>639</v>
      </c>
      <c r="D15" s="536"/>
      <c r="E15" s="537"/>
      <c r="F15" s="538" t="s">
        <v>502</v>
      </c>
      <c r="G15" s="538" t="s">
        <v>959</v>
      </c>
      <c r="H15" s="616" t="str">
        <f>'Office calculator'!H15:O16</f>
        <v>Note: the  activity areas defined opposite are used to estimate the assessed building's default occupancy and therefore water consumption benchmark. These areas are chosen as they are deemed, by in large, to represent the permanently occupied spaces in the building and therefore reflect the number of building occupants/users. As a result it is not necessary to include all areas of the building that may be present, as the areas not defined are assumed to be used by the occupants of the building already accounted for by those areas that are listed.</v>
      </c>
      <c r="I15" s="634"/>
      <c r="J15" s="634"/>
      <c r="K15" s="634"/>
      <c r="L15" s="634"/>
      <c r="M15" s="634"/>
      <c r="N15" s="634"/>
      <c r="O15" s="634"/>
      <c r="P15" s="144"/>
      <c r="Q15" s="144"/>
      <c r="R15" s="144"/>
      <c r="S15" s="144"/>
      <c r="T15" s="144"/>
      <c r="U15" s="144"/>
      <c r="V15" s="144"/>
      <c r="W15" s="144"/>
      <c r="X15" s="117"/>
      <c r="Y15" s="144"/>
      <c r="Z15" s="144"/>
      <c r="AA15" s="144"/>
      <c r="AC15" s="144"/>
      <c r="AN15" s="144"/>
    </row>
    <row r="16" spans="1:40" ht="30" customHeight="1" x14ac:dyDescent="0.2">
      <c r="A16" s="346" t="str">
        <f>IF(F16=$Q$129,"&gt;",IF(AND(F16=$Q$130,G16=""),"&gt;",""))</f>
        <v>&gt;</v>
      </c>
      <c r="B16" s="278" t="str">
        <f>'Activity database'!A11</f>
        <v>Industrial - Process area</v>
      </c>
      <c r="C16" s="605" t="str">
        <f>VLOOKUP(B16,'Activity database'!A:B,2,FALSE)</f>
        <v>Main process based operational/manufacturing/workshop area</v>
      </c>
      <c r="D16" s="605"/>
      <c r="E16" s="605"/>
      <c r="F16" s="261" t="s">
        <v>654</v>
      </c>
      <c r="G16" s="293"/>
      <c r="H16" s="634"/>
      <c r="I16" s="634"/>
      <c r="J16" s="634"/>
      <c r="K16" s="634"/>
      <c r="L16" s="634"/>
      <c r="M16" s="634"/>
      <c r="N16" s="634"/>
      <c r="O16" s="634"/>
      <c r="P16" s="144"/>
      <c r="Q16" s="144"/>
      <c r="R16" s="144"/>
      <c r="S16" s="144"/>
      <c r="T16" s="144"/>
      <c r="U16" s="144"/>
      <c r="V16" s="144"/>
      <c r="W16" s="144"/>
      <c r="X16" s="117"/>
      <c r="Y16" s="144"/>
      <c r="Z16" s="144"/>
      <c r="AA16" s="144"/>
      <c r="AC16" s="144"/>
      <c r="AN16" s="144"/>
    </row>
    <row r="17" spans="1:40" ht="39.950000000000003" customHeight="1" x14ac:dyDescent="0.2">
      <c r="A17" s="346" t="str">
        <f>IF(F17=$Q$129,"&gt;",IF(AND(F17=$Q$130,G17=""),"&gt;",""))</f>
        <v>&gt;</v>
      </c>
      <c r="B17" s="279" t="str">
        <f>'Activity database'!A12</f>
        <v>Industrial - Laboratory area</v>
      </c>
      <c r="C17" s="605" t="str">
        <f>VLOOKUP(B17,'Activity database'!A:B,2,FALSE)</f>
        <v>Large or small category 1 laboratory area.</v>
      </c>
      <c r="D17" s="605"/>
      <c r="E17" s="605"/>
      <c r="F17" s="261" t="s">
        <v>654</v>
      </c>
      <c r="G17" s="293"/>
      <c r="H17" s="511"/>
      <c r="I17" s="511"/>
      <c r="J17" s="511"/>
      <c r="K17" s="511"/>
      <c r="L17" s="511"/>
      <c r="M17" s="511"/>
      <c r="N17" s="511"/>
      <c r="O17" s="511"/>
      <c r="P17" s="144"/>
      <c r="Q17" s="144"/>
      <c r="R17" s="144"/>
      <c r="S17" s="144"/>
      <c r="T17" s="144"/>
      <c r="U17" s="144"/>
      <c r="V17" s="144"/>
      <c r="W17" s="144"/>
      <c r="X17" s="117"/>
      <c r="Y17" s="144"/>
      <c r="Z17" s="144"/>
      <c r="AA17" s="144"/>
      <c r="AC17" s="144"/>
      <c r="AN17" s="144"/>
    </row>
    <row r="18" spans="1:40" ht="39.950000000000003" customHeight="1" x14ac:dyDescent="0.2">
      <c r="A18" s="346" t="str">
        <f>IF(F18=$Q$129,"&gt;",IF(AND(F18=$Q$130,G18=""),"&gt;",""))</f>
        <v>&gt;</v>
      </c>
      <c r="B18" s="279" t="str">
        <f>'Activity database'!A13</f>
        <v>Industrial - Warehouse storage</v>
      </c>
      <c r="C18" s="605" t="str">
        <f>VLOOKUP(B18,'Activity database'!A:B,2,FALSE)</f>
        <v>Permanently or intermittently occupied warehouse storage areas.</v>
      </c>
      <c r="D18" s="605"/>
      <c r="E18" s="605"/>
      <c r="F18" s="261" t="s">
        <v>654</v>
      </c>
      <c r="G18" s="293"/>
      <c r="H18" s="511"/>
      <c r="I18" s="511"/>
      <c r="J18" s="511"/>
      <c r="K18" s="511"/>
      <c r="L18" s="511"/>
      <c r="M18" s="511"/>
      <c r="N18" s="511"/>
      <c r="O18" s="511"/>
      <c r="P18" s="144"/>
      <c r="Q18" s="144"/>
      <c r="R18" s="144"/>
      <c r="S18" s="144"/>
      <c r="T18" s="117"/>
      <c r="U18" s="117"/>
      <c r="V18" s="117"/>
      <c r="W18" s="117"/>
      <c r="X18" s="117"/>
      <c r="Y18" s="144"/>
      <c r="Z18" s="144"/>
      <c r="AA18" s="144"/>
      <c r="AC18" s="144"/>
      <c r="AN18" s="144"/>
    </row>
    <row r="19" spans="1:40" ht="39.950000000000003" customHeight="1" x14ac:dyDescent="0.2">
      <c r="A19" s="346" t="str">
        <f>IF(F19=$Q$129,"&gt;",IF(AND(F19=$Q$130,G19=""),"&gt;",""))</f>
        <v>&gt;</v>
      </c>
      <c r="B19" s="279" t="str">
        <f>'Activity database'!A14</f>
        <v>Industrial - Office areas</v>
      </c>
      <c r="C19" s="605" t="str">
        <f>VLOOKUP(B19,'Activity database'!A:B,2,FALSE)</f>
        <v>Cellular or open plan office space, including staff kitchen where present/adjacent and reception areas. Exlcude meeting rooms, visitor waiting or circulation areas.</v>
      </c>
      <c r="D19" s="605"/>
      <c r="E19" s="605"/>
      <c r="F19" s="261" t="s">
        <v>654</v>
      </c>
      <c r="G19" s="293"/>
      <c r="H19" s="117"/>
      <c r="I19" s="117"/>
      <c r="J19" s="117"/>
      <c r="K19" s="117"/>
      <c r="L19" s="117"/>
      <c r="M19" s="117"/>
      <c r="N19" s="144"/>
      <c r="O19" s="144"/>
      <c r="P19" s="144"/>
      <c r="Q19" s="144"/>
      <c r="R19" s="144"/>
      <c r="S19" s="144"/>
      <c r="T19" s="117"/>
      <c r="U19" s="117"/>
      <c r="V19" s="117"/>
      <c r="W19" s="117"/>
      <c r="X19" s="117"/>
      <c r="Y19" s="144"/>
      <c r="Z19" s="144"/>
      <c r="AA19" s="144"/>
      <c r="AC19" s="144"/>
      <c r="AN19" s="144"/>
    </row>
    <row r="20" spans="1:40" ht="39.950000000000003" customHeight="1" x14ac:dyDescent="0.2">
      <c r="A20" s="346" t="str">
        <f>IF(F20=$Q$129,"&gt;",IF(AND(F20=$Q$130,G20=""),"&gt;",""))</f>
        <v>&gt;</v>
      </c>
      <c r="B20" s="279" t="str">
        <f>'Activity database'!A15</f>
        <v>Industrial - Staff canteen dining area</v>
      </c>
      <c r="C20" s="605" t="str">
        <f>VLOOKUP(B20,'Activity database'!A:B,2,FALSE)</f>
        <v>Seated dining areas that accompany a permanently staffed kitchen preparing food for consumption on the premises (excludes small un-staffed kitchen's used by office staff to re-heat food, make tea etc.)</v>
      </c>
      <c r="D20" s="605"/>
      <c r="E20" s="605"/>
      <c r="F20" s="261" t="s">
        <v>654</v>
      </c>
      <c r="G20" s="293"/>
      <c r="H20" s="606" t="s">
        <v>677</v>
      </c>
      <c r="I20" s="607"/>
      <c r="J20" s="607"/>
      <c r="K20" s="607"/>
      <c r="L20" s="607"/>
      <c r="M20" s="607"/>
      <c r="N20" s="607"/>
      <c r="O20" s="607"/>
      <c r="P20" s="144"/>
      <c r="Q20" s="144"/>
      <c r="R20" s="144"/>
      <c r="S20" s="144"/>
      <c r="T20" s="117"/>
      <c r="U20" s="117"/>
      <c r="V20" s="117"/>
      <c r="W20" s="117"/>
      <c r="X20" s="117"/>
      <c r="Y20" s="153"/>
      <c r="Z20" s="153"/>
      <c r="AA20" s="153"/>
      <c r="AB20" s="153"/>
      <c r="AC20" s="144"/>
      <c r="AN20" s="144"/>
    </row>
    <row r="21" spans="1:40" ht="39.950000000000003" customHeight="1" x14ac:dyDescent="0.2">
      <c r="A21" s="346" t="str">
        <f>IF(F21=$Q$129,"&gt;","")</f>
        <v>&gt;</v>
      </c>
      <c r="B21" s="279" t="str">
        <f>'Activity database'!A16</f>
        <v>Industrial - Fitness suite/gym (with changing facility and showers)</v>
      </c>
      <c r="C21" s="605" t="str">
        <f>VLOOKUP(B21,'Activity database'!A:B,2,FALSE)</f>
        <v>A fitness suite or gym that is part of the office building/development  and used by the building's employees only. The gym will have its own changing facility with showers.</v>
      </c>
      <c r="D21" s="605"/>
      <c r="E21" s="605"/>
      <c r="F21" s="261" t="s">
        <v>654</v>
      </c>
      <c r="G21" s="291"/>
      <c r="H21" s="608" t="str">
        <f>IF(F21=Q130,"Note: Net floor area is not required for this activity. Its inclusion (or otherwise) simply determines the usage/person/day factor and therefore resulting water consumption from the showers.","")</f>
        <v/>
      </c>
      <c r="I21" s="609"/>
      <c r="J21" s="609"/>
      <c r="K21" s="609"/>
      <c r="L21" s="609"/>
      <c r="M21" s="609"/>
      <c r="N21" s="609"/>
      <c r="O21" s="609"/>
      <c r="P21" s="144"/>
      <c r="Q21" s="144"/>
      <c r="R21" s="144"/>
      <c r="S21" s="144"/>
      <c r="T21" s="117"/>
      <c r="U21" s="117"/>
      <c r="V21" s="117"/>
      <c r="W21" s="117"/>
      <c r="X21" s="117"/>
      <c r="Y21" s="154"/>
      <c r="Z21" s="154"/>
      <c r="AA21" s="154"/>
      <c r="AB21" s="154"/>
      <c r="AC21" s="144"/>
      <c r="AN21" s="144"/>
    </row>
    <row r="22" spans="1:40" ht="30" customHeight="1" x14ac:dyDescent="0.2">
      <c r="A22" s="113"/>
      <c r="B22" s="113"/>
      <c r="C22" s="294"/>
      <c r="D22" s="294"/>
      <c r="E22" s="294"/>
      <c r="F22" s="295" t="s">
        <v>737</v>
      </c>
      <c r="G22" s="296" t="s">
        <v>654</v>
      </c>
      <c r="H22" s="603" t="str">
        <f>IF(AND(Ind_act=R136,F20=Q130,G22=Q130),"Warning: Please delete the contents of this cell to ensure accurate calculation.","")</f>
        <v/>
      </c>
      <c r="I22" s="603"/>
      <c r="J22" s="603"/>
      <c r="K22" s="603"/>
      <c r="L22" s="603"/>
      <c r="M22" s="603"/>
      <c r="N22" s="512"/>
      <c r="O22" s="512"/>
      <c r="P22" s="117"/>
      <c r="Q22" s="144"/>
      <c r="R22" s="144"/>
      <c r="S22" s="144"/>
      <c r="T22" s="117"/>
      <c r="U22" s="117"/>
      <c r="V22" s="117"/>
      <c r="W22" s="117"/>
      <c r="X22" s="117"/>
      <c r="Y22" s="154"/>
      <c r="Z22" s="154"/>
      <c r="AA22" s="154"/>
      <c r="AB22" s="154"/>
      <c r="AC22" s="144"/>
      <c r="AN22" s="144"/>
    </row>
    <row r="23" spans="1:40" ht="24.95" customHeight="1" x14ac:dyDescent="0.2">
      <c r="A23" s="113"/>
      <c r="B23" s="113"/>
      <c r="C23" s="113"/>
      <c r="D23" s="113"/>
      <c r="E23" s="113"/>
      <c r="F23" s="113"/>
      <c r="G23" s="114"/>
      <c r="I23" s="144"/>
      <c r="J23" s="144"/>
      <c r="K23" s="144"/>
      <c r="L23" s="144"/>
      <c r="M23" s="144"/>
      <c r="N23" s="144"/>
      <c r="O23" s="144"/>
      <c r="P23" s="144"/>
      <c r="Q23" s="144"/>
      <c r="R23" s="144"/>
      <c r="S23" s="144"/>
      <c r="T23" s="117"/>
      <c r="U23" s="117"/>
      <c r="V23" s="117"/>
      <c r="W23" s="117"/>
      <c r="X23" s="193"/>
      <c r="Y23" s="155"/>
      <c r="Z23" s="155"/>
      <c r="AA23" s="155"/>
      <c r="AB23" s="155"/>
      <c r="AC23" s="144"/>
      <c r="AN23" s="144"/>
    </row>
    <row r="24" spans="1:40" ht="32.1" customHeight="1" x14ac:dyDescent="0.2">
      <c r="A24" s="113"/>
      <c r="B24" s="516" t="s">
        <v>698</v>
      </c>
      <c r="C24" s="516"/>
      <c r="D24" s="516"/>
      <c r="E24" s="516"/>
      <c r="F24" s="516"/>
      <c r="G24" s="516"/>
      <c r="I24" s="144"/>
      <c r="J24" s="144"/>
      <c r="K24" s="144"/>
      <c r="L24" s="144"/>
      <c r="M24" s="144"/>
      <c r="N24" s="144"/>
      <c r="O24" s="144"/>
      <c r="P24" s="144"/>
      <c r="Q24" s="144"/>
      <c r="R24" s="144"/>
      <c r="S24" s="144"/>
      <c r="T24" s="117"/>
      <c r="U24" s="117"/>
      <c r="V24" s="117"/>
      <c r="W24" s="117"/>
      <c r="X24" s="117"/>
      <c r="Y24" s="144"/>
      <c r="Z24" s="144"/>
      <c r="AA24" s="144"/>
      <c r="AC24" s="144"/>
      <c r="AN24" s="144"/>
    </row>
    <row r="25" spans="1:40" ht="24.95" customHeight="1" x14ac:dyDescent="0.2">
      <c r="A25" s="113"/>
      <c r="B25" s="113"/>
      <c r="C25" s="113"/>
      <c r="D25" s="113"/>
      <c r="E25" s="113"/>
      <c r="F25" s="113"/>
      <c r="G25" s="114"/>
      <c r="I25" s="144"/>
      <c r="J25" s="144"/>
      <c r="K25" s="144"/>
      <c r="L25" s="144"/>
      <c r="M25" s="144"/>
      <c r="N25" s="144"/>
      <c r="O25" s="144"/>
      <c r="P25" s="144"/>
      <c r="Q25" s="148"/>
      <c r="R25" s="148"/>
      <c r="S25" s="148"/>
      <c r="T25" s="113"/>
      <c r="U25" s="117"/>
      <c r="V25" s="117"/>
      <c r="W25" s="117"/>
      <c r="X25" s="117"/>
      <c r="Y25" s="117"/>
      <c r="Z25" s="117"/>
      <c r="AA25" s="117"/>
      <c r="AB25" s="117"/>
      <c r="AC25" s="144"/>
      <c r="AN25" s="144"/>
    </row>
    <row r="26" spans="1:40" ht="24.95" customHeight="1" x14ac:dyDescent="0.2">
      <c r="A26" s="113"/>
      <c r="B26" s="546" t="s">
        <v>536</v>
      </c>
      <c r="C26" s="538" t="s">
        <v>524</v>
      </c>
      <c r="D26" s="538" t="s">
        <v>621</v>
      </c>
      <c r="E26" s="538" t="s">
        <v>378</v>
      </c>
      <c r="F26" s="538" t="s">
        <v>284</v>
      </c>
      <c r="G26" s="538" t="s">
        <v>396</v>
      </c>
      <c r="I26" s="148"/>
      <c r="J26" s="148"/>
      <c r="K26" s="148"/>
      <c r="L26" s="148"/>
      <c r="M26" s="148"/>
      <c r="N26" s="324" t="s">
        <v>536</v>
      </c>
      <c r="O26" s="138" t="s">
        <v>81</v>
      </c>
      <c r="P26" s="138" t="s">
        <v>378</v>
      </c>
      <c r="Q26" s="138" t="s">
        <v>284</v>
      </c>
      <c r="R26" s="138" t="s">
        <v>82</v>
      </c>
      <c r="S26" s="148"/>
      <c r="T26" s="113"/>
      <c r="U26" s="117"/>
      <c r="V26" s="117"/>
      <c r="W26" s="117"/>
      <c r="X26" s="113"/>
      <c r="Y26" s="148"/>
      <c r="Z26" s="144"/>
      <c r="AA26" s="144"/>
      <c r="AC26" s="144"/>
      <c r="AN26" s="144"/>
    </row>
    <row r="27" spans="1:40" ht="15" customHeight="1" x14ac:dyDescent="0.2">
      <c r="A27" s="346" t="str">
        <f>IF(B27=$Q$129,"&gt;","")</f>
        <v>&gt;</v>
      </c>
      <c r="B27" s="263" t="s">
        <v>654</v>
      </c>
      <c r="C27" s="120" t="s">
        <v>525</v>
      </c>
      <c r="D27" s="264"/>
      <c r="E27" s="121" t="str">
        <f>IF(Ind_act=Q129,"",IF(B27=R129,"",IF(B27=R130,VLOOKUP($B$13,'Activity database'!$A:$AN,9,FALSE),IF(B27=R131,VLOOKUP($B$13,'Activity database'!$A:$BY,10,FALSE)))))</f>
        <v/>
      </c>
      <c r="F27" s="121" t="str">
        <f>IF(Ind_act=Q129,"",VLOOKUP($B$13,'Activity database'!$A:$BY,27,FALSE))</f>
        <v/>
      </c>
      <c r="G27" s="119" t="str">
        <f>IF(ISERROR((D27*E27*F27*(VLOOKUP(B13,'Activity database'!A:BA,7,FALSE)))),Q137,(D27*E27*F27*(VLOOKUP(B13,'Activity database'!A:BA,7,FALSE))))</f>
        <v>Requires building information</v>
      </c>
      <c r="H27" s="347" t="str">
        <f>IF(B27=R129,"Note: please seelct the relevant option for WC component opposite","")</f>
        <v>Note: please seelct the relevant option for WC component opposite</v>
      </c>
      <c r="I27" s="148"/>
      <c r="J27" s="148"/>
      <c r="K27" s="148"/>
      <c r="L27" s="148"/>
      <c r="M27" s="148"/>
      <c r="N27" s="205" t="str">
        <f>B27</f>
        <v>Please select</v>
      </c>
      <c r="O27" s="121">
        <f>IF($D$27="",0,VLOOKUP($N$27,'Activity database'!$AT:$BA,2,FALSE))</f>
        <v>0</v>
      </c>
      <c r="P27" s="121" t="str">
        <f>E27</f>
        <v/>
      </c>
      <c r="Q27" s="121" t="str">
        <f>F27</f>
        <v/>
      </c>
      <c r="R27" s="119">
        <f>IF($D$27="",0,O27*$P$27*$Q$27*(VLOOKUP($B$13,'Activity database'!$A:$BA,7,FALSE)))</f>
        <v>0</v>
      </c>
      <c r="S27" s="148"/>
      <c r="T27" s="113"/>
      <c r="U27" s="117"/>
      <c r="V27" s="117"/>
      <c r="W27" s="117"/>
      <c r="X27" s="113"/>
      <c r="Y27" s="148"/>
      <c r="Z27" s="144"/>
      <c r="AA27" s="144"/>
      <c r="AC27" s="144"/>
      <c r="AN27" s="144"/>
    </row>
    <row r="28" spans="1:40" ht="15" customHeight="1" x14ac:dyDescent="0.2">
      <c r="A28" s="113"/>
      <c r="B28" s="128" t="str">
        <f>'Activity database'!K3</f>
        <v>WC - female</v>
      </c>
      <c r="C28" s="120" t="s">
        <v>525</v>
      </c>
      <c r="D28" s="264"/>
      <c r="E28" s="121" t="str">
        <f>IF(Ind_act=Q129,"",VLOOKUP($B$13,'Activity database'!$A:$BY,11,FALSE))</f>
        <v/>
      </c>
      <c r="F28" s="121" t="str">
        <f>IF(Ind_act=Q129,"",VLOOKUP($B$13,'Activity database'!$A:$BY,27,FALSE))</f>
        <v/>
      </c>
      <c r="G28" s="119" t="str">
        <f>IF(Ind_act=Q129,Q137,D28*E28*F28*(VLOOKUP(B13,'Activity database'!A:BA,8,FALSE)))</f>
        <v>Requires building information</v>
      </c>
      <c r="H28" s="603" t="s">
        <v>678</v>
      </c>
      <c r="I28" s="603"/>
      <c r="J28" s="603"/>
      <c r="K28" s="603"/>
      <c r="L28" s="603"/>
      <c r="M28" s="603"/>
      <c r="N28" s="283" t="str">
        <f>B28</f>
        <v>WC - female</v>
      </c>
      <c r="O28" s="121">
        <f>IF($D$28="",0,VLOOKUP($N$28,'Activity database'!$AT:$BA,2,FALSE))</f>
        <v>0</v>
      </c>
      <c r="P28" s="121" t="str">
        <f>E28</f>
        <v/>
      </c>
      <c r="Q28" s="121" t="str">
        <f>F28</f>
        <v/>
      </c>
      <c r="R28" s="119">
        <f>IF($D$28="",0,O28*$P$28*$Q$28*(VLOOKUP($B$13,'Activity database'!$A:$BA,8,FALSE)))</f>
        <v>0</v>
      </c>
      <c r="S28" s="148"/>
      <c r="T28" s="113"/>
      <c r="U28" s="117"/>
      <c r="V28" s="117"/>
      <c r="W28" s="117"/>
      <c r="X28" s="113"/>
      <c r="Y28" s="148"/>
      <c r="Z28" s="144"/>
      <c r="AA28" s="144"/>
      <c r="AC28" s="144"/>
      <c r="AN28" s="144"/>
    </row>
    <row r="29" spans="1:40" ht="12.75" customHeight="1" x14ac:dyDescent="0.2">
      <c r="A29" s="113"/>
      <c r="B29" s="113"/>
      <c r="C29" s="113"/>
      <c r="D29" s="113"/>
      <c r="E29" s="113"/>
      <c r="F29" s="113"/>
      <c r="G29" s="114"/>
      <c r="H29" s="603"/>
      <c r="I29" s="603"/>
      <c r="J29" s="603"/>
      <c r="K29" s="603"/>
      <c r="L29" s="603"/>
      <c r="M29" s="603"/>
      <c r="N29" s="148"/>
      <c r="O29" s="148"/>
      <c r="P29" s="148"/>
      <c r="Q29" s="148"/>
      <c r="R29" s="148"/>
      <c r="S29" s="148"/>
      <c r="T29" s="113"/>
      <c r="U29" s="113"/>
      <c r="V29" s="113"/>
      <c r="W29" s="117"/>
      <c r="X29" s="113"/>
      <c r="Y29" s="148"/>
      <c r="Z29" s="144"/>
      <c r="AA29" s="144"/>
      <c r="AC29" s="144"/>
      <c r="AN29" s="144"/>
    </row>
    <row r="30" spans="1:40" ht="24.95" customHeight="1" x14ac:dyDescent="0.2">
      <c r="A30" s="113"/>
      <c r="B30" s="546" t="s">
        <v>90</v>
      </c>
      <c r="C30" s="538" t="s">
        <v>524</v>
      </c>
      <c r="D30" s="538" t="s">
        <v>621</v>
      </c>
      <c r="E30" s="538" t="s">
        <v>615</v>
      </c>
      <c r="F30" s="538" t="s">
        <v>87</v>
      </c>
      <c r="G30" s="538" t="s">
        <v>396</v>
      </c>
      <c r="H30" s="603"/>
      <c r="I30" s="603"/>
      <c r="J30" s="603"/>
      <c r="K30" s="603"/>
      <c r="L30" s="603"/>
      <c r="M30" s="603"/>
      <c r="N30" s="324" t="s">
        <v>90</v>
      </c>
      <c r="O30" s="138" t="s">
        <v>81</v>
      </c>
      <c r="P30" s="138" t="s">
        <v>84</v>
      </c>
      <c r="Q30" s="138" t="s">
        <v>83</v>
      </c>
      <c r="R30" s="138" t="s">
        <v>82</v>
      </c>
      <c r="S30" s="113"/>
      <c r="T30" s="113"/>
      <c r="U30" s="113"/>
      <c r="V30" s="113"/>
      <c r="W30" s="117"/>
      <c r="X30" s="113"/>
      <c r="Y30" s="148"/>
      <c r="Z30" s="144"/>
      <c r="AA30" s="144"/>
      <c r="AC30" s="144"/>
      <c r="AN30" s="144"/>
    </row>
    <row r="31" spans="1:40" ht="15" customHeight="1" x14ac:dyDescent="0.2">
      <c r="A31" s="346" t="str">
        <f>IF(AND(D31&gt;0,OR(E31="",F31="")),"&gt;","")</f>
        <v/>
      </c>
      <c r="B31" s="610" t="s">
        <v>752</v>
      </c>
      <c r="C31" s="120" t="s">
        <v>614</v>
      </c>
      <c r="D31" s="264"/>
      <c r="E31" s="265">
        <v>5</v>
      </c>
      <c r="F31" s="265">
        <v>2</v>
      </c>
      <c r="G31" s="119" t="str">
        <f>IF(Ind_act=Q129,Q137,IF(ISERROR(IF(OR(D31=0,E31=0,F31=0,B27=R131),0,(D31*E31*F31*G13)/O137)),Q137,IF(OR(D31=0,E31=0,F31=0,B27=R131),0,(D31*E31*F31*G13)/O137)))</f>
        <v>Requires building information</v>
      </c>
      <c r="H31" s="158"/>
      <c r="I31" s="159"/>
      <c r="J31" s="159"/>
      <c r="K31" s="159"/>
      <c r="L31" s="159"/>
      <c r="N31" s="342" t="str">
        <f>B31</f>
        <v>Automatically operated flushing cistern</v>
      </c>
      <c r="O31" s="341">
        <f>IF($D$31=0,0,IF($D$32=1,'Activity database'!$AU$11,'Activity database'!$AU$10))</f>
        <v>0</v>
      </c>
      <c r="P31" s="116" t="e">
        <f>O31*$G$13</f>
        <v>#N/A</v>
      </c>
      <c r="Q31" s="121" t="e">
        <f>P31*$D$32</f>
        <v>#N/A</v>
      </c>
      <c r="R31" s="121" t="e">
        <f>IF(B27=R131,0,$Q$31/O137)</f>
        <v>#N/A</v>
      </c>
      <c r="S31" s="113"/>
      <c r="T31" s="113"/>
      <c r="U31" s="113"/>
      <c r="V31" s="140"/>
      <c r="W31" s="117"/>
      <c r="X31" s="113"/>
      <c r="Y31" s="148"/>
      <c r="Z31" s="144"/>
      <c r="AA31" s="144"/>
      <c r="AC31" s="144"/>
      <c r="AN31" s="144"/>
    </row>
    <row r="32" spans="1:40" ht="15" customHeight="1" x14ac:dyDescent="0.2">
      <c r="A32" s="346" t="str">
        <f>IF(AND(D31&gt;0,D32=""),"&gt;","")</f>
        <v/>
      </c>
      <c r="B32" s="611"/>
      <c r="C32" s="120" t="s">
        <v>88</v>
      </c>
      <c r="D32" s="264"/>
      <c r="E32" s="117"/>
      <c r="F32" s="117"/>
      <c r="G32" s="117"/>
      <c r="I32" s="148"/>
      <c r="J32" s="148"/>
      <c r="K32" s="148"/>
      <c r="L32" s="148"/>
      <c r="M32" s="160"/>
      <c r="N32" s="117"/>
      <c r="O32" s="117"/>
      <c r="P32" s="117"/>
      <c r="Q32" s="117"/>
      <c r="R32" s="117"/>
      <c r="S32" s="113"/>
      <c r="T32" s="113"/>
      <c r="U32" s="113"/>
      <c r="V32" s="140"/>
      <c r="W32" s="113"/>
      <c r="X32" s="113"/>
      <c r="Y32" s="148"/>
      <c r="Z32" s="144"/>
      <c r="AA32" s="144"/>
      <c r="AC32" s="144"/>
      <c r="AN32" s="144"/>
    </row>
    <row r="33" spans="1:40" ht="24.95" customHeight="1" x14ac:dyDescent="0.2">
      <c r="A33" s="113"/>
      <c r="B33" s="546"/>
      <c r="C33" s="538" t="s">
        <v>524</v>
      </c>
      <c r="D33" s="538" t="s">
        <v>621</v>
      </c>
      <c r="E33" s="538" t="s">
        <v>378</v>
      </c>
      <c r="F33" s="538" t="s">
        <v>284</v>
      </c>
      <c r="G33" s="538" t="s">
        <v>396</v>
      </c>
      <c r="H33" s="158"/>
      <c r="I33" s="148"/>
      <c r="J33" s="148"/>
      <c r="K33" s="148"/>
      <c r="L33" s="148"/>
      <c r="M33" s="148"/>
      <c r="N33" s="324" t="s">
        <v>90</v>
      </c>
      <c r="O33" s="138" t="s">
        <v>81</v>
      </c>
      <c r="P33" s="138" t="s">
        <v>378</v>
      </c>
      <c r="Q33" s="138" t="s">
        <v>284</v>
      </c>
      <c r="R33" s="138" t="s">
        <v>82</v>
      </c>
      <c r="S33" s="148"/>
      <c r="T33" s="113"/>
      <c r="U33" s="113"/>
      <c r="V33" s="140"/>
      <c r="W33" s="113"/>
      <c r="X33" s="113"/>
      <c r="Y33" s="148"/>
      <c r="Z33" s="144"/>
      <c r="AA33" s="144"/>
      <c r="AC33" s="144"/>
      <c r="AN33" s="144"/>
    </row>
    <row r="34" spans="1:40" ht="15" customHeight="1" x14ac:dyDescent="0.2">
      <c r="A34" s="113"/>
      <c r="B34" s="610" t="s">
        <v>751</v>
      </c>
      <c r="C34" s="120" t="s">
        <v>539</v>
      </c>
      <c r="D34" s="265"/>
      <c r="E34" s="121" t="str">
        <f>IF(Ind_act=Q129,"",VLOOKUP($B$13,'Activity database'!$A:$AN,12,FALSE))</f>
        <v/>
      </c>
      <c r="F34" s="121" t="str">
        <f>IF(Ind_act=Q129,"",VLOOKUP($B$13,'Activity database'!$A:$AN,28,FALSE))</f>
        <v/>
      </c>
      <c r="G34" s="119" t="str">
        <f>IF(Ind_act=Q129,Q137,IF(OR(D34=0,E34=0,F34=0,B27=R131),0,(D34*E34*F34)*(VLOOKUP(B13,'Activity database'!A:BA,7,FALSE))*(D35/(D32+D35+D38))))</f>
        <v>Requires building information</v>
      </c>
      <c r="H34" s="603" t="str">
        <f>IF(B27=R131,"",N149)</f>
        <v>Note: This consumption total accounts for the ratio of male users for this building type i.e. the ratio of building users who will operate the flush. Where more than one type of urinal flushing control is specified in the building, this consumption figure is adjusted by a ratio of use. the ratio is determined according to the proportion of urinals bowls in the building operated using this type of control.</v>
      </c>
      <c r="I34" s="603"/>
      <c r="J34" s="603"/>
      <c r="K34" s="603"/>
      <c r="L34" s="603"/>
      <c r="M34" s="603"/>
      <c r="N34" s="340" t="str">
        <f>B34</f>
        <v>Manual/automatic operated pressure flushing valve (all activity areas)</v>
      </c>
      <c r="O34" s="116">
        <f>'Activity database'!$AU$12</f>
        <v>1.5</v>
      </c>
      <c r="P34" s="121" t="str">
        <f>E34</f>
        <v/>
      </c>
      <c r="Q34" s="121" t="str">
        <f>F34</f>
        <v/>
      </c>
      <c r="R34" s="121" t="e">
        <f>IF(B27=R131,0,IF($D$34="",0,$O$34*$P$34*$Q$34*(VLOOKUP(B13,'Activity database'!$A:$BA,7,FALSE)))*(D35/(D32+D35+D38)))</f>
        <v>#DIV/0!</v>
      </c>
      <c r="S34" s="148"/>
      <c r="T34" s="148"/>
      <c r="U34" s="148"/>
      <c r="V34" s="160"/>
      <c r="W34" s="148"/>
      <c r="X34" s="148"/>
      <c r="Y34" s="148"/>
      <c r="Z34" s="148"/>
      <c r="AA34" s="148"/>
      <c r="AB34" s="148"/>
      <c r="AC34" s="144"/>
      <c r="AN34" s="144"/>
    </row>
    <row r="35" spans="1:40" ht="15" customHeight="1" x14ac:dyDescent="0.2">
      <c r="A35" s="346" t="str">
        <f>IF(AND(D34&gt;0,D35=""),"&gt;","")</f>
        <v/>
      </c>
      <c r="B35" s="612"/>
      <c r="C35" s="122" t="s">
        <v>88</v>
      </c>
      <c r="D35" s="264"/>
      <c r="E35" s="117"/>
      <c r="F35" s="117"/>
      <c r="G35" s="117"/>
      <c r="H35" s="603"/>
      <c r="I35" s="603"/>
      <c r="J35" s="603"/>
      <c r="K35" s="603"/>
      <c r="L35" s="603"/>
      <c r="M35" s="603"/>
      <c r="N35" s="140"/>
      <c r="O35" s="333"/>
      <c r="P35" s="117"/>
      <c r="Q35" s="117"/>
      <c r="R35" s="117"/>
      <c r="S35" s="148"/>
      <c r="T35" s="148"/>
      <c r="U35" s="148"/>
      <c r="V35" s="148"/>
      <c r="W35" s="148"/>
      <c r="X35" s="144"/>
      <c r="Y35" s="144"/>
      <c r="Z35" s="144"/>
      <c r="AA35" s="144"/>
      <c r="AC35" s="144"/>
      <c r="AN35" s="144"/>
    </row>
    <row r="36" spans="1:40" ht="24.95" customHeight="1" x14ac:dyDescent="0.2">
      <c r="A36" s="113"/>
      <c r="B36" s="546"/>
      <c r="C36" s="538" t="s">
        <v>524</v>
      </c>
      <c r="D36" s="538" t="s">
        <v>621</v>
      </c>
      <c r="E36" s="538" t="s">
        <v>378</v>
      </c>
      <c r="F36" s="538" t="s">
        <v>284</v>
      </c>
      <c r="G36" s="538" t="s">
        <v>396</v>
      </c>
      <c r="H36" s="603"/>
      <c r="I36" s="603"/>
      <c r="J36" s="603"/>
      <c r="K36" s="603"/>
      <c r="L36" s="603"/>
      <c r="M36" s="603"/>
      <c r="N36" s="324" t="s">
        <v>90</v>
      </c>
      <c r="O36" s="138" t="s">
        <v>81</v>
      </c>
      <c r="P36" s="138" t="s">
        <v>378</v>
      </c>
      <c r="Q36" s="138" t="s">
        <v>284</v>
      </c>
      <c r="R36" s="138" t="s">
        <v>82</v>
      </c>
      <c r="S36" s="148"/>
      <c r="T36" s="148"/>
      <c r="U36" s="148"/>
      <c r="V36" s="148"/>
      <c r="W36" s="148"/>
      <c r="X36" s="148"/>
      <c r="Y36" s="148"/>
      <c r="Z36" s="148"/>
      <c r="AA36" s="148"/>
      <c r="AB36" s="148"/>
      <c r="AC36" s="144"/>
      <c r="AN36" s="144"/>
    </row>
    <row r="37" spans="1:40" ht="15" customHeight="1" x14ac:dyDescent="0.2">
      <c r="A37" s="346" t="str">
        <f>IF(B27=R131,"",IF(D37=$Q$129,"&gt;",""))</f>
        <v>&gt;</v>
      </c>
      <c r="B37" s="610" t="s">
        <v>89</v>
      </c>
      <c r="C37" s="120" t="s">
        <v>539</v>
      </c>
      <c r="D37" s="261" t="s">
        <v>654</v>
      </c>
      <c r="E37" s="121" t="str">
        <f>IF(Ind_act=Q129,"",VLOOKUP($B$13,'Activity database'!$A:$AN,12,FALSE))</f>
        <v/>
      </c>
      <c r="F37" s="121" t="str">
        <f>IF(Ind_act=Q129,"",VLOOKUP($B$13,'Activity database'!$A:$AN,28,FALSE))</f>
        <v/>
      </c>
      <c r="G37" s="119" t="str">
        <f>IF(Ind_act=Q129,Q137,0)</f>
        <v>Requires building information</v>
      </c>
      <c r="H37" s="604" t="str">
        <f>IF(OR(B27=R131,B27=R129,D37=P131),"",IF(AND(D37=P130,D38&gt;0),N151,IF(OR(D37=R129,D37=P130),N152)))</f>
        <v/>
      </c>
      <c r="I37" s="604"/>
      <c r="J37" s="604"/>
      <c r="K37" s="604"/>
      <c r="L37" s="604"/>
      <c r="M37" s="604"/>
      <c r="N37" s="340" t="str">
        <f>B37</f>
        <v>Waterless urinals (all activity areas)</v>
      </c>
      <c r="O37" s="343">
        <f>'Activity database'!$AU$12</f>
        <v>1.5</v>
      </c>
      <c r="P37" s="121" t="str">
        <f>E37</f>
        <v/>
      </c>
      <c r="Q37" s="121" t="str">
        <f>F37</f>
        <v/>
      </c>
      <c r="R37" s="121" t="e">
        <f>IF(B27=R131,0,IF(OR($D$37="",$D$37=P129,$D$37=P131),0,$O$37*$P$37*$Q$37*(VLOOKUP(B13,'Activity database'!$A:$BA,7,FALSE)))*(D38/(D32+D35+D38)))</f>
        <v>#DIV/0!</v>
      </c>
      <c r="S37" s="148"/>
      <c r="T37" s="148"/>
      <c r="U37" s="148"/>
      <c r="V37" s="148"/>
      <c r="W37" s="148"/>
      <c r="X37" s="148"/>
      <c r="Y37" s="148"/>
      <c r="Z37" s="148"/>
      <c r="AA37" s="148"/>
      <c r="AB37" s="148"/>
      <c r="AC37" s="144"/>
      <c r="AN37" s="144"/>
    </row>
    <row r="38" spans="1:40" ht="15" customHeight="1" x14ac:dyDescent="0.2">
      <c r="A38" s="346" t="str">
        <f>IF(AND(D37=P130,D38=""),"&gt;","")</f>
        <v/>
      </c>
      <c r="B38" s="613"/>
      <c r="C38" s="122" t="s">
        <v>88</v>
      </c>
      <c r="D38" s="264"/>
      <c r="E38" s="117"/>
      <c r="F38" s="117"/>
      <c r="G38" s="117"/>
      <c r="H38" s="604"/>
      <c r="I38" s="604"/>
      <c r="J38" s="604"/>
      <c r="K38" s="604"/>
      <c r="L38" s="604"/>
      <c r="M38" s="604"/>
      <c r="N38" s="148"/>
      <c r="O38" s="148"/>
      <c r="P38" s="144"/>
      <c r="Q38" s="144"/>
      <c r="R38" s="144"/>
      <c r="S38" s="144"/>
      <c r="T38" s="117"/>
      <c r="U38" s="113"/>
      <c r="V38" s="113"/>
      <c r="W38" s="113"/>
      <c r="X38" s="113"/>
      <c r="Y38" s="113"/>
      <c r="Z38" s="113"/>
      <c r="AA38" s="113"/>
      <c r="AB38" s="148"/>
      <c r="AC38" s="144"/>
      <c r="AN38" s="144"/>
    </row>
    <row r="39" spans="1:40" ht="18" customHeight="1" x14ac:dyDescent="0.2">
      <c r="A39" s="113"/>
      <c r="B39" s="113"/>
      <c r="C39" s="113"/>
      <c r="D39" s="113"/>
      <c r="E39" s="113"/>
      <c r="F39" s="113"/>
      <c r="G39" s="114"/>
      <c r="H39" s="604"/>
      <c r="I39" s="604"/>
      <c r="J39" s="604"/>
      <c r="K39" s="604"/>
      <c r="L39" s="604"/>
      <c r="M39" s="604"/>
      <c r="N39" s="113"/>
      <c r="O39" s="113"/>
      <c r="P39" s="144"/>
      <c r="Q39" s="144"/>
      <c r="R39" s="144"/>
      <c r="S39" s="144"/>
      <c r="T39" s="117"/>
      <c r="U39" s="113"/>
      <c r="V39" s="113"/>
      <c r="W39" s="113"/>
      <c r="X39" s="113"/>
      <c r="Y39" s="113"/>
      <c r="Z39" s="113"/>
      <c r="AA39" s="113"/>
      <c r="AB39" s="157"/>
      <c r="AC39" s="144"/>
      <c r="AN39" s="144"/>
    </row>
    <row r="40" spans="1:40" ht="24.95" customHeight="1" x14ac:dyDescent="0.2">
      <c r="A40" s="113"/>
      <c r="B40" s="113"/>
      <c r="C40" s="538" t="s">
        <v>524</v>
      </c>
      <c r="D40" s="538" t="s">
        <v>621</v>
      </c>
      <c r="E40" s="538" t="s">
        <v>378</v>
      </c>
      <c r="F40" s="538" t="s">
        <v>284</v>
      </c>
      <c r="G40" s="538" t="s">
        <v>396</v>
      </c>
      <c r="I40" s="117"/>
      <c r="J40" s="148"/>
      <c r="K40" s="148"/>
      <c r="L40" s="148"/>
      <c r="M40" s="148"/>
      <c r="N40" s="113"/>
      <c r="O40" s="117"/>
      <c r="P40" s="117"/>
      <c r="Q40" s="117"/>
      <c r="R40" s="117"/>
      <c r="S40" s="144"/>
      <c r="T40" s="117"/>
      <c r="U40" s="117"/>
      <c r="V40" s="117"/>
      <c r="W40" s="117"/>
      <c r="X40" s="117"/>
      <c r="Y40" s="117"/>
      <c r="Z40" s="117"/>
      <c r="AA40" s="117"/>
      <c r="AC40" s="144"/>
      <c r="AN40" s="144"/>
    </row>
    <row r="41" spans="1:40" ht="24.95" customHeight="1" x14ac:dyDescent="0.2">
      <c r="A41" s="113"/>
      <c r="B41" s="540" t="s">
        <v>537</v>
      </c>
      <c r="C41" s="547"/>
      <c r="D41" s="547"/>
      <c r="E41" s="547"/>
      <c r="F41" s="547"/>
      <c r="G41" s="548"/>
      <c r="I41" s="117"/>
      <c r="J41" s="148"/>
      <c r="K41" s="148"/>
      <c r="L41" s="148"/>
      <c r="M41" s="148"/>
      <c r="N41" s="324" t="s">
        <v>537</v>
      </c>
      <c r="O41" s="138" t="s">
        <v>517</v>
      </c>
      <c r="P41" s="138" t="s">
        <v>378</v>
      </c>
      <c r="Q41" s="138" t="s">
        <v>284</v>
      </c>
      <c r="R41" s="138" t="s">
        <v>82</v>
      </c>
      <c r="S41" s="144"/>
      <c r="T41" s="117"/>
      <c r="U41" s="117"/>
      <c r="V41" s="117"/>
      <c r="W41" s="117"/>
      <c r="X41" s="117"/>
      <c r="Y41" s="117"/>
      <c r="Z41" s="117"/>
      <c r="AA41" s="117"/>
      <c r="AC41" s="144"/>
      <c r="AN41" s="144"/>
    </row>
    <row r="42" spans="1:40" ht="15" customHeight="1" x14ac:dyDescent="0.2">
      <c r="A42" s="113"/>
      <c r="B42" s="130" t="str">
        <f>'Activity database'!M3</f>
        <v>Wash hand basin taps</v>
      </c>
      <c r="C42" s="121" t="s">
        <v>526</v>
      </c>
      <c r="D42" s="264"/>
      <c r="E42" s="121" t="str">
        <f>IF(Ind_act=Q129,"",VLOOKUP($B$13,'Activity database'!$A:$AN,13,FALSE))</f>
        <v/>
      </c>
      <c r="F42" s="121" t="str">
        <f>IF(Ind_act=Q129,"",VLOOKUP($B$13,'Activity database'!$A:$AN,29,FALSE))</f>
        <v/>
      </c>
      <c r="G42" s="119" t="str">
        <f>IF(Ind_act=Q129,Q137,(D42*E42*F42)*VLOOKUP(B13,'Activity database'!A:AR,44,FALSE))</f>
        <v>Requires building information</v>
      </c>
      <c r="I42" s="148"/>
      <c r="J42" s="148"/>
      <c r="K42" s="148"/>
      <c r="L42" s="148"/>
      <c r="M42" s="148"/>
      <c r="N42" s="123" t="str">
        <f t="shared" ref="N42:N47" si="0">B42</f>
        <v>Wash hand basin taps</v>
      </c>
      <c r="O42" s="121">
        <f>IF($D$42="",0,VLOOKUP($N$42,'Activity database'!$AT:$BA,2,FALSE))</f>
        <v>0</v>
      </c>
      <c r="P42" s="121" t="str">
        <f t="shared" ref="P42:Q46" si="1">E42</f>
        <v/>
      </c>
      <c r="Q42" s="121" t="str">
        <f t="shared" si="1"/>
        <v/>
      </c>
      <c r="R42" s="121">
        <f>IF($D$42="",0,(O42*$P$42*$Q$42)*(VLOOKUP($B$13,'Activity database'!$A:$AR,44,FALSE)))</f>
        <v>0</v>
      </c>
      <c r="S42" s="144"/>
      <c r="T42" s="117"/>
      <c r="U42" s="117"/>
      <c r="V42" s="117"/>
      <c r="W42" s="117"/>
      <c r="X42" s="117"/>
      <c r="Y42" s="117"/>
      <c r="Z42" s="117"/>
      <c r="AA42" s="117"/>
      <c r="AC42" s="144"/>
      <c r="AN42" s="144"/>
    </row>
    <row r="43" spans="1:40" ht="15" customHeight="1" x14ac:dyDescent="0.2">
      <c r="A43" s="113"/>
      <c r="B43" s="130" t="str">
        <f>'Activity database'!N3</f>
        <v>Shower use</v>
      </c>
      <c r="C43" s="121" t="s">
        <v>526</v>
      </c>
      <c r="D43" s="264"/>
      <c r="E43" s="131">
        <f>IF(F21="no",VLOOKUP($B$13,'Activity database'!$A:$AN,14,FALSE),VLOOKUP(B21,'Activity database'!A:BO,14,FALSE))</f>
        <v>0.154</v>
      </c>
      <c r="F43" s="121" t="str">
        <f>IF(Ind_act=Q129,"",VLOOKUP($B$13,'Activity database'!$A:$AN,30,FALSE))</f>
        <v/>
      </c>
      <c r="G43" s="119" t="str">
        <f>IF(Ind_act=Q129,Q137,D43*E43*F43)</f>
        <v>Requires building information</v>
      </c>
      <c r="I43" s="148"/>
      <c r="J43" s="148"/>
      <c r="K43" s="148"/>
      <c r="L43" s="148"/>
      <c r="M43" s="148"/>
      <c r="N43" s="123" t="str">
        <f t="shared" si="0"/>
        <v>Shower use</v>
      </c>
      <c r="O43" s="121">
        <f>IF($D$43="",0,'Activity database'!AU8)</f>
        <v>0</v>
      </c>
      <c r="P43" s="131">
        <f t="shared" si="1"/>
        <v>0.154</v>
      </c>
      <c r="Q43" s="131" t="str">
        <f t="shared" si="1"/>
        <v/>
      </c>
      <c r="R43" s="121">
        <f>IF($D$43="",0,O43*$P$43*$Q$43)</f>
        <v>0</v>
      </c>
      <c r="S43" s="144"/>
      <c r="T43" s="117"/>
      <c r="U43" s="117"/>
      <c r="V43" s="117"/>
      <c r="W43" s="117"/>
      <c r="X43" s="117"/>
      <c r="Y43" s="117"/>
      <c r="Z43" s="117"/>
      <c r="AA43" s="117"/>
      <c r="AC43" s="144"/>
      <c r="AN43" s="144"/>
    </row>
    <row r="44" spans="1:40" ht="15" hidden="1" customHeight="1" x14ac:dyDescent="0.2">
      <c r="A44" s="289" t="s">
        <v>735</v>
      </c>
      <c r="B44" s="123" t="str">
        <f>'Activity database'!O3</f>
        <v>Shower use (bath present)</v>
      </c>
      <c r="C44" s="124" t="s">
        <v>526</v>
      </c>
      <c r="D44" s="259"/>
      <c r="E44" s="126" t="e">
        <f>VLOOKUP($B$13,'Activity database'!$A:$AN,15,FALSE)</f>
        <v>#N/A</v>
      </c>
      <c r="F44" s="126" t="e">
        <f>VLOOKUP($B$13,'Activity database'!$A:$AN,31,FALSE)</f>
        <v>#N/A</v>
      </c>
      <c r="G44" s="127" t="e">
        <f>IF(E44="N/A",0,D44*E44*F44)</f>
        <v>#N/A</v>
      </c>
      <c r="H44" s="510" t="s">
        <v>735</v>
      </c>
      <c r="I44" s="148"/>
      <c r="J44" s="148"/>
      <c r="K44" s="148"/>
      <c r="L44" s="148"/>
      <c r="M44" s="148"/>
      <c r="N44" s="123" t="str">
        <f t="shared" si="0"/>
        <v>Shower use (bath present)</v>
      </c>
      <c r="O44" s="121">
        <f>IF($D$44="",0,'Activity database'!AU8)</f>
        <v>0</v>
      </c>
      <c r="P44" s="131" t="e">
        <f t="shared" si="1"/>
        <v>#N/A</v>
      </c>
      <c r="Q44" s="131" t="e">
        <f t="shared" si="1"/>
        <v>#N/A</v>
      </c>
      <c r="R44" s="121">
        <f>IF($D$44="",0,O44*$P$44*$Q$44)</f>
        <v>0</v>
      </c>
      <c r="S44" s="144"/>
      <c r="T44" s="117"/>
      <c r="U44" s="117"/>
      <c r="V44" s="117"/>
      <c r="W44" s="117"/>
      <c r="X44" s="117"/>
      <c r="Y44" s="117"/>
      <c r="Z44" s="117"/>
      <c r="AA44" s="117"/>
      <c r="AC44" s="144"/>
      <c r="AN44" s="144"/>
    </row>
    <row r="45" spans="1:40" ht="15" hidden="1" customHeight="1" x14ac:dyDescent="0.2">
      <c r="A45" s="289" t="s">
        <v>735</v>
      </c>
      <c r="B45" s="123" t="str">
        <f>'Activity database'!P3</f>
        <v xml:space="preserve">Bath use (no shower present) </v>
      </c>
      <c r="C45" s="124" t="s">
        <v>527</v>
      </c>
      <c r="D45" s="259"/>
      <c r="E45" s="126" t="e">
        <f>VLOOKUP($B$13,'Activity database'!$A:$AN,16,FALSE)</f>
        <v>#N/A</v>
      </c>
      <c r="F45" s="126" t="e">
        <f>VLOOKUP($B$13,'Activity database'!$A:$AN,32,FALSE)</f>
        <v>#N/A</v>
      </c>
      <c r="G45" s="127" t="e">
        <f>IF(E45="n/a",0,((D45*E45*F45)*'Activity database'!AQ4))</f>
        <v>#N/A</v>
      </c>
      <c r="H45" s="510" t="s">
        <v>735</v>
      </c>
      <c r="I45" s="148"/>
      <c r="J45" s="148"/>
      <c r="K45" s="148"/>
      <c r="L45" s="148"/>
      <c r="M45" s="148"/>
      <c r="N45" s="123" t="str">
        <f t="shared" si="0"/>
        <v xml:space="preserve">Bath use (no shower present) </v>
      </c>
      <c r="O45" s="121">
        <f>IF($D$45="",0,'Activity database'!AU9)</f>
        <v>0</v>
      </c>
      <c r="P45" s="121" t="e">
        <f t="shared" si="1"/>
        <v>#N/A</v>
      </c>
      <c r="Q45" s="121" t="e">
        <f t="shared" si="1"/>
        <v>#N/A</v>
      </c>
      <c r="R45" s="121">
        <f>IF($D$45="",0,((O45*$P$45*$Q$45)*(VLOOKUP($B$13,'Activity database'!$A:$AR,43,FALSE))))</f>
        <v>0</v>
      </c>
      <c r="S45" s="144"/>
      <c r="T45" s="117"/>
      <c r="U45" s="117"/>
      <c r="V45" s="117"/>
      <c r="W45" s="117"/>
      <c r="X45" s="117"/>
      <c r="Y45" s="117"/>
      <c r="Z45" s="117"/>
      <c r="AA45" s="117"/>
      <c r="AC45" s="144"/>
      <c r="AN45" s="144"/>
    </row>
    <row r="46" spans="1:40" ht="15" hidden="1" customHeight="1" x14ac:dyDescent="0.2">
      <c r="A46" s="289" t="s">
        <v>735</v>
      </c>
      <c r="B46" s="123" t="str">
        <f>'Activity database'!Q3</f>
        <v>Bath use (shower present)</v>
      </c>
      <c r="C46" s="124" t="s">
        <v>527</v>
      </c>
      <c r="D46" s="259"/>
      <c r="E46" s="126" t="e">
        <f>VLOOKUP($B$13,'Activity database'!$A:$AN,17,FALSE)</f>
        <v>#N/A</v>
      </c>
      <c r="F46" s="126" t="e">
        <f>VLOOKUP($B$13,'Activity database'!$A:$AN,33,FALSE)</f>
        <v>#N/A</v>
      </c>
      <c r="G46" s="127" t="e">
        <f>IF(E46="n/a",0,((D46*E46*F46)*'Activity database'!AQ4))</f>
        <v>#N/A</v>
      </c>
      <c r="H46" s="510" t="s">
        <v>735</v>
      </c>
      <c r="I46" s="148"/>
      <c r="J46" s="148"/>
      <c r="K46" s="148"/>
      <c r="L46" s="148"/>
      <c r="M46" s="148"/>
      <c r="N46" s="123" t="str">
        <f t="shared" si="0"/>
        <v>Bath use (shower present)</v>
      </c>
      <c r="O46" s="121">
        <f>IF($D$46="",0,'Activity database'!AU9)</f>
        <v>0</v>
      </c>
      <c r="P46" s="121" t="e">
        <f t="shared" si="1"/>
        <v>#N/A</v>
      </c>
      <c r="Q46" s="121" t="e">
        <f t="shared" si="1"/>
        <v>#N/A</v>
      </c>
      <c r="R46" s="121">
        <f>IF($D$46="",0,((O46*$P$46*$Q$46)*(VLOOKUP($B$13,'Activity database'!$A:$AR,43,FALSE))))</f>
        <v>0</v>
      </c>
      <c r="S46" s="144"/>
      <c r="T46" s="117"/>
      <c r="U46" s="117"/>
      <c r="V46" s="117"/>
      <c r="W46" s="117"/>
      <c r="X46" s="117"/>
      <c r="Y46" s="117"/>
      <c r="Z46" s="117"/>
      <c r="AA46" s="117"/>
      <c r="AC46" s="144"/>
      <c r="AN46" s="144"/>
    </row>
    <row r="47" spans="1:40" ht="15" customHeight="1" x14ac:dyDescent="0.2">
      <c r="A47" s="113"/>
      <c r="B47" s="198" t="str">
        <f>'Activity database'!X3</f>
        <v>Fixed use - vessel filling</v>
      </c>
      <c r="C47" s="199" t="s">
        <v>386</v>
      </c>
      <c r="D47" s="199" t="s">
        <v>521</v>
      </c>
      <c r="E47" s="200" t="s">
        <v>521</v>
      </c>
      <c r="F47" s="199" t="s">
        <v>521</v>
      </c>
      <c r="G47" s="201" t="str">
        <f>IF(Ind_act=Q129,Q137,IF(F21="yes",VLOOKUP(B13,'Activity database'!A:BA,24,FALSE)+VLOOKUP(B21,'Activity database'!A:BA,24,FALSE),VLOOKUP(B13,'Activity database'!A:BA,24,FALSE)))</f>
        <v>Requires building information</v>
      </c>
      <c r="H47" s="619"/>
      <c r="I47" s="603"/>
      <c r="J47" s="603"/>
      <c r="K47" s="603"/>
      <c r="L47" s="603"/>
      <c r="M47" s="603"/>
      <c r="N47" s="130" t="str">
        <f t="shared" si="0"/>
        <v>Fixed use - vessel filling</v>
      </c>
      <c r="O47" s="199" t="s">
        <v>280</v>
      </c>
      <c r="P47" s="199" t="s">
        <v>280</v>
      </c>
      <c r="Q47" s="199" t="s">
        <v>280</v>
      </c>
      <c r="R47" s="199" t="str">
        <f>$G$47</f>
        <v>Requires building information</v>
      </c>
      <c r="S47" s="144"/>
      <c r="T47" s="117"/>
      <c r="U47" s="117"/>
      <c r="V47" s="117"/>
      <c r="W47" s="117"/>
      <c r="X47" s="117"/>
      <c r="Y47" s="117"/>
      <c r="Z47" s="117"/>
      <c r="AA47" s="117"/>
      <c r="AC47" s="144"/>
      <c r="AN47" s="144"/>
    </row>
    <row r="48" spans="1:40" ht="24.95" customHeight="1" x14ac:dyDescent="0.2">
      <c r="A48" s="113"/>
      <c r="B48" s="549" t="s">
        <v>538</v>
      </c>
      <c r="C48" s="547"/>
      <c r="D48" s="547"/>
      <c r="E48" s="547"/>
      <c r="F48" s="547"/>
      <c r="G48" s="548"/>
      <c r="H48" s="619"/>
      <c r="I48" s="603"/>
      <c r="J48" s="603"/>
      <c r="K48" s="603"/>
      <c r="L48" s="603"/>
      <c r="M48" s="603"/>
      <c r="N48" s="336" t="s">
        <v>538</v>
      </c>
      <c r="O48" s="334"/>
      <c r="P48" s="334"/>
      <c r="Q48" s="334"/>
      <c r="R48" s="335"/>
      <c r="S48" s="144"/>
      <c r="T48" s="117"/>
      <c r="U48" s="117"/>
      <c r="V48" s="117"/>
      <c r="W48" s="117"/>
      <c r="X48" s="117"/>
      <c r="Y48" s="117"/>
      <c r="Z48" s="117"/>
      <c r="AA48" s="117"/>
      <c r="AC48" s="144"/>
      <c r="AN48" s="144"/>
    </row>
    <row r="49" spans="1:40" ht="15" customHeight="1" x14ac:dyDescent="0.2">
      <c r="A49" s="113"/>
      <c r="B49" s="202" t="str">
        <f>'Activity database'!R3</f>
        <v>Kitchen taps - kitchenette</v>
      </c>
      <c r="C49" s="203" t="s">
        <v>526</v>
      </c>
      <c r="D49" s="266"/>
      <c r="E49" s="203">
        <f>VLOOKUP($B$19,'Activity database'!$A:$AN,18,FALSE)</f>
        <v>1</v>
      </c>
      <c r="F49" s="203">
        <f>VLOOKUP($B$19,'Activity database'!$A:$AN,34,FALSE)</f>
        <v>0.67</v>
      </c>
      <c r="G49" s="204" t="str">
        <f>IF(Ind_act=Q129,Q137,(D49*E49*F49)*(VLOOKUP(B13,'Activity database'!A:AR,44,FALSE)))</f>
        <v>Requires building information</v>
      </c>
      <c r="I49" s="148"/>
      <c r="J49" s="148"/>
      <c r="K49" s="148"/>
      <c r="L49" s="148"/>
      <c r="M49" s="148"/>
      <c r="N49" s="329" t="str">
        <f>B49</f>
        <v>Kitchen taps - kitchenette</v>
      </c>
      <c r="O49" s="203">
        <f>IF($D$49="",0,VLOOKUP($N$49,'Activity database'!$AT:$BA,2,FALSE))</f>
        <v>0</v>
      </c>
      <c r="P49" s="203">
        <f>E49</f>
        <v>1</v>
      </c>
      <c r="Q49" s="203">
        <f>F49</f>
        <v>0.67</v>
      </c>
      <c r="R49" s="203">
        <f>IF($D$49="",0,(O49*$P$49*$Q$49)*(VLOOKUP($B$13,'Activity database'!$A:$AR,44,FALSE)))</f>
        <v>0</v>
      </c>
      <c r="S49" s="144"/>
      <c r="T49" s="117"/>
      <c r="U49" s="117"/>
      <c r="V49" s="117"/>
      <c r="W49" s="117"/>
      <c r="X49" s="117"/>
      <c r="Y49" s="117"/>
      <c r="Z49" s="117"/>
      <c r="AA49" s="117"/>
      <c r="AC49" s="144"/>
      <c r="AN49" s="144"/>
    </row>
    <row r="50" spans="1:40" ht="15" customHeight="1" x14ac:dyDescent="0.2">
      <c r="A50" s="113"/>
      <c r="B50" s="130" t="str">
        <f>'Activity database'!U3</f>
        <v>Dishwasher</v>
      </c>
      <c r="C50" s="121" t="s">
        <v>535</v>
      </c>
      <c r="D50" s="267"/>
      <c r="E50" s="124">
        <f>VLOOKUP($B$19,'Activity database'!$A:$AN,21,FALSE)</f>
        <v>0.04</v>
      </c>
      <c r="F50" s="124">
        <f>VLOOKUP($B$19,'Activity database'!$A:$AN,37,FALSE)</f>
        <v>1</v>
      </c>
      <c r="G50" s="121" t="str">
        <f>IF(Ind_act=Q129,Q137,D50*E50*F50)</f>
        <v>Requires building information</v>
      </c>
      <c r="I50" s="148"/>
      <c r="J50" s="148"/>
      <c r="K50" s="148"/>
      <c r="L50" s="148"/>
      <c r="M50" s="148"/>
      <c r="N50" s="123" t="str">
        <f>B50</f>
        <v>Dishwasher</v>
      </c>
      <c r="O50" s="121">
        <f>IF($D$50="",0,'Activity database'!AU16)</f>
        <v>0</v>
      </c>
      <c r="P50" s="121">
        <f>E50</f>
        <v>0.04</v>
      </c>
      <c r="Q50" s="121">
        <f>F50</f>
        <v>1</v>
      </c>
      <c r="R50" s="121">
        <f>O50*$P$50*$Q$50</f>
        <v>0</v>
      </c>
      <c r="S50" s="144"/>
      <c r="T50" s="117"/>
      <c r="U50" s="117"/>
      <c r="V50" s="117"/>
      <c r="W50" s="117"/>
      <c r="X50" s="117"/>
      <c r="Y50" s="117"/>
      <c r="Z50" s="117"/>
      <c r="AA50" s="117"/>
      <c r="AC50" s="144"/>
      <c r="AN50" s="144"/>
    </row>
    <row r="51" spans="1:40" ht="24.95" customHeight="1" x14ac:dyDescent="0.2">
      <c r="A51" s="113"/>
      <c r="B51" s="540" t="s">
        <v>846</v>
      </c>
      <c r="C51" s="547"/>
      <c r="D51" s="547"/>
      <c r="E51" s="547"/>
      <c r="F51" s="547"/>
      <c r="G51" s="548"/>
      <c r="I51" s="148"/>
      <c r="J51" s="148"/>
      <c r="K51" s="148"/>
      <c r="L51" s="148"/>
      <c r="M51" s="148"/>
      <c r="N51" s="325" t="s">
        <v>93</v>
      </c>
      <c r="O51" s="334"/>
      <c r="P51" s="334"/>
      <c r="Q51" s="334"/>
      <c r="R51" s="335"/>
      <c r="S51" s="144"/>
      <c r="T51" s="117"/>
      <c r="U51" s="117"/>
      <c r="V51" s="117"/>
      <c r="W51" s="117"/>
      <c r="X51" s="117"/>
      <c r="Y51" s="117"/>
      <c r="Z51" s="117"/>
      <c r="AA51" s="117"/>
      <c r="AC51" s="144"/>
      <c r="AN51" s="144"/>
    </row>
    <row r="52" spans="1:40" ht="15" customHeight="1" x14ac:dyDescent="0.2">
      <c r="A52" s="113"/>
      <c r="B52" s="130" t="str">
        <f>'Activity database'!S3</f>
        <v>Kitchen taps - pre-rinse nozzle</v>
      </c>
      <c r="C52" s="129" t="s">
        <v>526</v>
      </c>
      <c r="D52" s="267"/>
      <c r="E52" s="124" t="s">
        <v>521</v>
      </c>
      <c r="F52" s="124">
        <f>VLOOKUP($B$20,'Activity database'!A:BO,35,FALSE)</f>
        <v>60</v>
      </c>
      <c r="G52" s="121" t="str">
        <f>IF(ISERROR((D52*F52)/O137),Q137,((D52*F52)/O137))</f>
        <v>Requires building information</v>
      </c>
      <c r="I52" s="148"/>
      <c r="J52" s="148"/>
      <c r="K52" s="148"/>
      <c r="L52" s="148"/>
      <c r="M52" s="148"/>
      <c r="N52" s="123" t="str">
        <f t="shared" ref="N52:N57" si="2">B52</f>
        <v>Kitchen taps - pre-rinse nozzle</v>
      </c>
      <c r="O52" s="121">
        <f>IF($D$52="",0,VLOOKUP($N$52,'Activity database'!$AT:$BA,2,FALSE))</f>
        <v>0</v>
      </c>
      <c r="P52" s="121" t="str">
        <f t="shared" ref="P52:Q55" si="3">E52</f>
        <v>-</v>
      </c>
      <c r="Q52" s="121">
        <f t="shared" si="3"/>
        <v>60</v>
      </c>
      <c r="R52" s="121">
        <f>IF($D$52="",0,(O52*$Q$52)/$O$137)</f>
        <v>0</v>
      </c>
      <c r="S52" s="144"/>
      <c r="T52" s="117"/>
      <c r="U52" s="117"/>
      <c r="V52" s="117"/>
      <c r="W52" s="117"/>
      <c r="X52" s="117"/>
      <c r="Y52" s="117"/>
      <c r="Z52" s="117"/>
      <c r="AA52" s="117"/>
      <c r="AC52" s="144"/>
      <c r="AN52" s="144"/>
    </row>
    <row r="53" spans="1:40" ht="15" customHeight="1" x14ac:dyDescent="0.2">
      <c r="A53" s="113"/>
      <c r="B53" s="130" t="str">
        <f>'Activity database'!U3</f>
        <v>Dishwasher</v>
      </c>
      <c r="C53" s="129" t="s">
        <v>103</v>
      </c>
      <c r="D53" s="267"/>
      <c r="E53" s="124" t="s">
        <v>521</v>
      </c>
      <c r="F53" s="125">
        <f>VLOOKUP($B$20,'Activity database'!A:BO,37,FALSE)</f>
        <v>0.20100000000000001</v>
      </c>
      <c r="G53" s="121" t="str">
        <f>IF(ISERROR((F53*G20*D53)/O137),Q137,((F53*G20*D53)/O137))</f>
        <v>Requires building information</v>
      </c>
      <c r="I53" s="148"/>
      <c r="J53" s="148"/>
      <c r="K53" s="148"/>
      <c r="L53" s="148"/>
      <c r="M53" s="148"/>
      <c r="N53" s="123" t="str">
        <f t="shared" si="2"/>
        <v>Dishwasher</v>
      </c>
      <c r="O53" s="121">
        <f>IF($D$53="",0,'Activity database'!AU19)</f>
        <v>0</v>
      </c>
      <c r="P53" s="121" t="str">
        <f t="shared" si="3"/>
        <v>-</v>
      </c>
      <c r="Q53" s="121">
        <f t="shared" si="3"/>
        <v>0.20100000000000001</v>
      </c>
      <c r="R53" s="121">
        <f>IF($D$53="",0,($Q$53*$G$20*O53)/$O$137)</f>
        <v>0</v>
      </c>
      <c r="S53" s="144"/>
      <c r="T53" s="117"/>
      <c r="U53" s="117"/>
      <c r="V53" s="117"/>
      <c r="W53" s="117"/>
      <c r="X53" s="117"/>
      <c r="Y53" s="117"/>
      <c r="Z53" s="117"/>
      <c r="AA53" s="117"/>
      <c r="AC53" s="144"/>
      <c r="AN53" s="144"/>
    </row>
    <row r="54" spans="1:40" ht="15" customHeight="1" x14ac:dyDescent="0.2">
      <c r="A54" s="113"/>
      <c r="B54" s="130" t="str">
        <f>'Activity database'!W3</f>
        <v>Waste disposal unit</v>
      </c>
      <c r="C54" s="129" t="s">
        <v>526</v>
      </c>
      <c r="D54" s="267"/>
      <c r="E54" s="124" t="s">
        <v>521</v>
      </c>
      <c r="F54" s="124">
        <f>VLOOKUP($B$20,'Activity database'!A:BO,39,FALSE)</f>
        <v>30</v>
      </c>
      <c r="G54" s="121" t="str">
        <f>IF(ISERROR((D54*F54)/O137),Q137,((D54*F54)/O137))</f>
        <v>Requires building information</v>
      </c>
      <c r="I54" s="148"/>
      <c r="J54" s="148"/>
      <c r="K54" s="148"/>
      <c r="L54" s="148"/>
      <c r="M54" s="148"/>
      <c r="N54" s="123" t="str">
        <f t="shared" si="2"/>
        <v>Waste disposal unit</v>
      </c>
      <c r="O54" s="121">
        <f>IF($D$54="",0,VLOOKUP($N$54,'Activity database'!$AT:$BA,2,FALSE))</f>
        <v>0</v>
      </c>
      <c r="P54" s="121" t="str">
        <f t="shared" si="3"/>
        <v>-</v>
      </c>
      <c r="Q54" s="121">
        <f t="shared" si="3"/>
        <v>30</v>
      </c>
      <c r="R54" s="121">
        <f>IF($D$54="",0,(O54*$Q$54)/$O$137)</f>
        <v>0</v>
      </c>
      <c r="S54" s="144"/>
      <c r="T54" s="117"/>
      <c r="U54" s="117"/>
      <c r="V54" s="117"/>
      <c r="W54" s="117"/>
      <c r="X54" s="117"/>
      <c r="Y54" s="117"/>
      <c r="Z54" s="117"/>
      <c r="AA54" s="117"/>
      <c r="AC54" s="144"/>
      <c r="AN54" s="144"/>
    </row>
    <row r="55" spans="1:40" ht="15" hidden="1" customHeight="1" x14ac:dyDescent="0.2">
      <c r="A55" s="320" t="s">
        <v>760</v>
      </c>
      <c r="B55" s="130" t="str">
        <f>'Activity database'!V3</f>
        <v>Washing machine</v>
      </c>
      <c r="C55" s="129" t="s">
        <v>528</v>
      </c>
      <c r="D55" s="260"/>
      <c r="E55" s="124" t="e">
        <f>VLOOKUP($B$13,'Activity database'!$A:$AN,22,FALSE)</f>
        <v>#N/A</v>
      </c>
      <c r="F55" s="124" t="e">
        <f>VLOOKUP($B$13,'Activity database'!$A:$AN,38,FALSE)</f>
        <v>#N/A</v>
      </c>
      <c r="G55" s="121" t="str">
        <f>IF(ISERROR(IF(E55="N/A",0,IF(F20="Yes",(D55*E55*F55),0))),Q137,IF(E55="N/A",0,IF(F20="Yes",(D55*E55*F55),0)))</f>
        <v>Requires building information</v>
      </c>
      <c r="H55" s="113" t="s">
        <v>760</v>
      </c>
      <c r="I55" s="148"/>
      <c r="J55" s="148"/>
      <c r="K55" s="148"/>
      <c r="L55" s="148"/>
      <c r="M55" s="148"/>
      <c r="N55" s="123" t="str">
        <f t="shared" si="2"/>
        <v>Washing machine</v>
      </c>
      <c r="O55" s="121">
        <f>IF($D$55="",0,'Activity database'!AU20)</f>
        <v>0</v>
      </c>
      <c r="P55" s="121" t="e">
        <f t="shared" si="3"/>
        <v>#N/A</v>
      </c>
      <c r="Q55" s="121" t="e">
        <f t="shared" si="3"/>
        <v>#N/A</v>
      </c>
      <c r="R55" s="121">
        <f>IF($D$55="",0,IF($F$20="Yes",(O55*$P$55*$Q$55)))</f>
        <v>0</v>
      </c>
      <c r="S55" s="144"/>
      <c r="T55" s="117"/>
      <c r="U55" s="117"/>
      <c r="V55" s="117"/>
      <c r="W55" s="117"/>
      <c r="X55" s="117"/>
      <c r="Y55" s="117"/>
      <c r="Z55" s="117"/>
      <c r="AA55" s="117"/>
      <c r="AC55" s="144"/>
      <c r="AN55" s="144"/>
    </row>
    <row r="56" spans="1:40" ht="15" customHeight="1" x14ac:dyDescent="0.2">
      <c r="A56" s="113"/>
      <c r="B56" s="130" t="str">
        <f>'Activity database'!Y3</f>
        <v>Fixed use - food preparation</v>
      </c>
      <c r="C56" s="129" t="s">
        <v>386</v>
      </c>
      <c r="D56" s="124" t="s">
        <v>521</v>
      </c>
      <c r="E56" s="124" t="s">
        <v>521</v>
      </c>
      <c r="F56" s="124" t="s">
        <v>521</v>
      </c>
      <c r="G56" s="121" t="str">
        <f>IF(Ind_act=Q129,Q137,IF(ISERROR(IF(F20="Yes",(VLOOKUP(B20,'Activity database'!A:BO,25,FALSE)/O137),0)),Q137,IF(F20="Yes",(VLOOKUP(B20,'Activity database'!A:BO,25,FALSE)/O137),0)))</f>
        <v>Requires building information</v>
      </c>
      <c r="H56" s="619"/>
      <c r="I56" s="603"/>
      <c r="J56" s="603"/>
      <c r="K56" s="603"/>
      <c r="L56" s="603"/>
      <c r="M56" s="603"/>
      <c r="N56" s="123" t="str">
        <f t="shared" si="2"/>
        <v>Fixed use - food preparation</v>
      </c>
      <c r="O56" s="121" t="s">
        <v>280</v>
      </c>
      <c r="P56" s="121" t="str">
        <f>E56</f>
        <v>-</v>
      </c>
      <c r="Q56" s="121" t="s">
        <v>280</v>
      </c>
      <c r="R56" s="121" t="str">
        <f>$G$56</f>
        <v>Requires building information</v>
      </c>
      <c r="S56" s="144"/>
      <c r="T56" s="117"/>
      <c r="U56" s="117"/>
      <c r="V56" s="117"/>
      <c r="W56" s="117"/>
      <c r="X56" s="117"/>
      <c r="Y56" s="117"/>
      <c r="Z56" s="117"/>
      <c r="AA56" s="117"/>
      <c r="AC56" s="144"/>
      <c r="AN56" s="144"/>
    </row>
    <row r="57" spans="1:40" ht="15" customHeight="1" x14ac:dyDescent="0.2">
      <c r="A57" s="113"/>
      <c r="B57" s="130" t="str">
        <f>'Activity database'!Z3</f>
        <v>Fixed use - kitchen cleaning</v>
      </c>
      <c r="C57" s="129" t="s">
        <v>386</v>
      </c>
      <c r="D57" s="124" t="s">
        <v>521</v>
      </c>
      <c r="E57" s="124" t="s">
        <v>521</v>
      </c>
      <c r="F57" s="124" t="s">
        <v>521</v>
      </c>
      <c r="G57" s="121" t="str">
        <f>IF(Ind_act=Q129,Q137,IF(ISERROR(IF(F20="Yes",(VLOOKUP(B20,'Activity database'!A:BO,26,FALSE)/O137),0)),Q137,IF(F20="Yes",(VLOOKUP(B20,'Activity database'!A:BO,26,FALSE)/O137),0)))</f>
        <v>Requires building information</v>
      </c>
      <c r="H57" s="619"/>
      <c r="I57" s="603"/>
      <c r="J57" s="603"/>
      <c r="K57" s="603"/>
      <c r="L57" s="603"/>
      <c r="M57" s="603"/>
      <c r="N57" s="123" t="str">
        <f t="shared" si="2"/>
        <v>Fixed use - kitchen cleaning</v>
      </c>
      <c r="O57" s="121" t="s">
        <v>280</v>
      </c>
      <c r="P57" s="121" t="str">
        <f>E57</f>
        <v>-</v>
      </c>
      <c r="Q57" s="121" t="s">
        <v>280</v>
      </c>
      <c r="R57" s="121" t="str">
        <f>$G$57</f>
        <v>Requires building information</v>
      </c>
      <c r="S57" s="144"/>
      <c r="T57" s="117"/>
      <c r="U57" s="117"/>
      <c r="V57" s="117"/>
      <c r="W57" s="117"/>
      <c r="X57" s="117"/>
      <c r="Y57" s="117"/>
      <c r="Z57" s="117"/>
      <c r="AA57" s="117"/>
      <c r="AC57" s="144"/>
      <c r="AN57" s="144"/>
    </row>
    <row r="58" spans="1:40" ht="15" customHeight="1" x14ac:dyDescent="0.2">
      <c r="A58" s="113"/>
      <c r="B58" s="113"/>
      <c r="C58" s="113"/>
      <c r="D58" s="113"/>
      <c r="E58" s="113"/>
      <c r="F58" s="113"/>
      <c r="G58" s="113"/>
      <c r="I58" s="148"/>
      <c r="J58" s="148"/>
      <c r="K58" s="148"/>
      <c r="L58" s="148"/>
      <c r="M58" s="148"/>
      <c r="N58" s="148"/>
      <c r="O58" s="148"/>
      <c r="P58" s="148"/>
      <c r="Q58" s="148"/>
      <c r="R58" s="148"/>
      <c r="S58" s="144"/>
      <c r="T58" s="117"/>
      <c r="U58" s="117"/>
      <c r="V58" s="117"/>
      <c r="W58" s="117"/>
      <c r="X58" s="117"/>
      <c r="Y58" s="117"/>
      <c r="Z58" s="117"/>
      <c r="AA58" s="117"/>
      <c r="AC58" s="144"/>
      <c r="AN58" s="144"/>
    </row>
    <row r="59" spans="1:40" ht="24.95" customHeight="1" x14ac:dyDescent="0.2">
      <c r="A59" s="113"/>
      <c r="B59" s="113"/>
      <c r="C59" s="113"/>
      <c r="D59" s="113"/>
      <c r="E59" s="113"/>
      <c r="F59" s="113"/>
      <c r="G59" s="538" t="s">
        <v>657</v>
      </c>
      <c r="H59" s="604" t="s">
        <v>951</v>
      </c>
      <c r="I59" s="604"/>
      <c r="J59" s="604"/>
      <c r="K59" s="604"/>
      <c r="L59" s="604"/>
      <c r="M59" s="604"/>
      <c r="N59" s="148"/>
      <c r="O59" s="148"/>
      <c r="P59" s="148"/>
      <c r="Q59" s="113"/>
      <c r="R59" s="138" t="s">
        <v>82</v>
      </c>
      <c r="S59" s="144"/>
      <c r="T59" s="117"/>
      <c r="U59" s="117"/>
      <c r="V59" s="117"/>
      <c r="W59" s="117"/>
      <c r="X59" s="117"/>
      <c r="Y59" s="117"/>
      <c r="Z59" s="117"/>
      <c r="AA59" s="117"/>
      <c r="AC59" s="144"/>
      <c r="AN59" s="144"/>
    </row>
    <row r="60" spans="1:40" ht="15" customHeight="1" x14ac:dyDescent="0.2">
      <c r="A60" s="113"/>
      <c r="B60" s="113"/>
      <c r="C60" s="113"/>
      <c r="D60" s="113"/>
      <c r="E60" s="113"/>
      <c r="F60" s="140" t="s">
        <v>5</v>
      </c>
      <c r="G60" s="119" t="str">
        <f>IF(ISERROR(IF(OR(G27=Q137,AND(F16=Q131,F17=Q131,F18=Q131,F19=Q131,F20=Q131,F21=Q131)),Q137,(SUM(G27:G28)+G31+G34+G37+SUM(G42:G47)+SUM(G49:G50)+SUM(G52:G57)))),Q137,IF(OR(G27=Q137,AND(F16=Q131,F17=Q131,F18=Q131,F19=Q131,F20=Q131,F21=Q131)),Q137,(SUM(G27:G28)+G31+G34+G37+SUM(G42:G47)+SUM(G49:G50)+SUM(G52:G57))))</f>
        <v>Requires building information</v>
      </c>
      <c r="H60" s="604"/>
      <c r="I60" s="604"/>
      <c r="J60" s="604"/>
      <c r="K60" s="604"/>
      <c r="L60" s="604"/>
      <c r="M60" s="604"/>
      <c r="N60" s="148"/>
      <c r="O60" s="148"/>
      <c r="P60" s="148"/>
      <c r="Q60" s="140" t="s">
        <v>630</v>
      </c>
      <c r="R60" s="119" t="e">
        <f>SUM(R27+R28)+R31+R34+R37+SUM(R42:R47)+SUM(R49:R50)+SUM(R52:R57)-R63</f>
        <v>#N/A</v>
      </c>
      <c r="S60" s="144"/>
      <c r="T60" s="117"/>
      <c r="U60" s="117"/>
      <c r="V60" s="117"/>
      <c r="W60" s="117"/>
      <c r="X60" s="117"/>
      <c r="Y60" s="117"/>
      <c r="Z60" s="117"/>
      <c r="AA60" s="117"/>
      <c r="AC60" s="144"/>
      <c r="AN60" s="144"/>
    </row>
    <row r="61" spans="1:40" ht="24.95" customHeight="1" x14ac:dyDescent="0.2">
      <c r="A61" s="113"/>
      <c r="B61" s="113"/>
      <c r="C61" s="113"/>
      <c r="D61" s="137"/>
      <c r="E61" s="137"/>
      <c r="F61" s="137"/>
      <c r="G61" s="114"/>
      <c r="H61" s="604"/>
      <c r="I61" s="604"/>
      <c r="J61" s="604"/>
      <c r="K61" s="604"/>
      <c r="L61" s="604"/>
      <c r="M61" s="604"/>
      <c r="N61" s="148"/>
      <c r="O61" s="164"/>
      <c r="P61" s="164"/>
      <c r="Q61" s="164"/>
      <c r="R61" s="164"/>
      <c r="S61" s="144"/>
      <c r="T61" s="117"/>
      <c r="U61" s="117"/>
      <c r="V61" s="117"/>
      <c r="W61" s="117"/>
      <c r="X61" s="117"/>
      <c r="Y61" s="117"/>
      <c r="Z61" s="117"/>
      <c r="AA61" s="117"/>
      <c r="AC61" s="144"/>
      <c r="AN61" s="144"/>
    </row>
    <row r="62" spans="1:40" ht="32.1" customHeight="1" x14ac:dyDescent="0.2">
      <c r="A62" s="113"/>
      <c r="B62" s="516" t="s">
        <v>627</v>
      </c>
      <c r="C62" s="516"/>
      <c r="D62" s="516"/>
      <c r="E62" s="516"/>
      <c r="F62" s="516"/>
      <c r="G62" s="516"/>
      <c r="H62" s="381"/>
      <c r="I62" s="381"/>
      <c r="J62" s="381"/>
      <c r="K62" s="381"/>
      <c r="L62" s="381"/>
      <c r="M62" s="381"/>
      <c r="N62" s="117"/>
      <c r="O62" s="117"/>
      <c r="P62" s="117"/>
      <c r="Q62" s="113"/>
      <c r="R62" s="138" t="s">
        <v>952</v>
      </c>
      <c r="S62" s="144"/>
      <c r="T62" s="117"/>
      <c r="U62" s="117"/>
      <c r="V62" s="117"/>
      <c r="W62" s="117"/>
      <c r="X62" s="117"/>
      <c r="Y62" s="117"/>
      <c r="Z62" s="117"/>
      <c r="AA62" s="117"/>
      <c r="AC62" s="144"/>
      <c r="AN62" s="144"/>
    </row>
    <row r="63" spans="1:40" ht="24.95" customHeight="1" x14ac:dyDescent="0.2">
      <c r="A63" s="113"/>
      <c r="B63" s="113"/>
      <c r="C63" s="113"/>
      <c r="D63" s="113"/>
      <c r="E63" s="113"/>
      <c r="F63" s="113"/>
      <c r="G63" s="114"/>
      <c r="H63" s="148"/>
      <c r="I63" s="144"/>
      <c r="J63" s="144"/>
      <c r="K63" s="144"/>
      <c r="L63" s="144"/>
      <c r="M63" s="144"/>
      <c r="N63" s="117"/>
      <c r="O63" s="117"/>
      <c r="P63" s="144"/>
      <c r="Q63" s="332" t="s">
        <v>630</v>
      </c>
      <c r="R63" s="119" t="e">
        <f>R47+R56+R57</f>
        <v>#VALUE!</v>
      </c>
      <c r="S63" s="144"/>
      <c r="T63" s="117"/>
      <c r="U63" s="117"/>
      <c r="V63" s="117"/>
      <c r="W63" s="117"/>
      <c r="X63" s="117"/>
      <c r="Y63" s="117"/>
      <c r="Z63" s="117"/>
      <c r="AA63" s="117"/>
      <c r="AC63" s="144"/>
      <c r="AN63" s="144"/>
    </row>
    <row r="64" spans="1:40" ht="15" customHeight="1" x14ac:dyDescent="0.2">
      <c r="A64" s="346" t="str">
        <f>IF(G64=$Q$129,"&gt;","")</f>
        <v>&gt;</v>
      </c>
      <c r="B64" s="115"/>
      <c r="C64" s="132"/>
      <c r="D64" s="133"/>
      <c r="E64" s="133"/>
      <c r="F64" s="134" t="s">
        <v>399</v>
      </c>
      <c r="G64" s="268" t="s">
        <v>654</v>
      </c>
      <c r="H64" s="148"/>
      <c r="I64" s="144"/>
      <c r="J64" s="144"/>
      <c r="K64" s="144"/>
      <c r="L64" s="144"/>
      <c r="M64" s="144"/>
      <c r="N64" s="117"/>
      <c r="O64" s="117"/>
      <c r="P64" s="144"/>
      <c r="Q64" s="144"/>
      <c r="R64" s="144"/>
      <c r="S64" s="144"/>
      <c r="T64" s="117"/>
      <c r="U64" s="117"/>
      <c r="V64" s="117"/>
      <c r="W64" s="117"/>
      <c r="X64" s="117"/>
      <c r="Y64" s="117"/>
      <c r="Z64" s="117"/>
      <c r="AA64" s="117"/>
      <c r="AC64" s="144"/>
      <c r="AN64" s="144"/>
    </row>
    <row r="65" spans="1:40" ht="12" customHeight="1" x14ac:dyDescent="0.2">
      <c r="A65" s="113"/>
      <c r="B65" s="113"/>
      <c r="C65" s="141"/>
      <c r="D65" s="113"/>
      <c r="E65" s="113"/>
      <c r="F65" s="113"/>
      <c r="G65" s="114"/>
      <c r="H65" s="148"/>
      <c r="I65" s="144"/>
      <c r="J65" s="144"/>
      <c r="K65" s="144"/>
      <c r="L65" s="144"/>
      <c r="M65" s="144"/>
      <c r="N65" s="117"/>
      <c r="O65" s="117"/>
      <c r="P65" s="144"/>
      <c r="Q65" s="144"/>
      <c r="R65" s="144"/>
      <c r="S65" s="144"/>
      <c r="T65" s="117"/>
      <c r="U65" s="117"/>
      <c r="V65" s="117"/>
      <c r="W65" s="117"/>
      <c r="X65" s="117"/>
      <c r="Y65" s="117"/>
      <c r="Z65" s="117"/>
      <c r="AA65" s="117"/>
      <c r="AC65" s="144"/>
      <c r="AN65" s="144"/>
    </row>
    <row r="66" spans="1:40" ht="24.95" customHeight="1" x14ac:dyDescent="0.2">
      <c r="A66" s="113"/>
      <c r="B66" s="113"/>
      <c r="C66" s="540" t="s">
        <v>115</v>
      </c>
      <c r="D66" s="538"/>
      <c r="E66" s="538" t="s">
        <v>529</v>
      </c>
      <c r="F66" s="538" t="s">
        <v>169</v>
      </c>
      <c r="G66" s="538" t="s">
        <v>910</v>
      </c>
      <c r="H66" s="148"/>
      <c r="I66" s="144"/>
      <c r="J66" s="144"/>
      <c r="K66" s="144"/>
      <c r="L66" s="144"/>
      <c r="M66" s="144"/>
      <c r="N66" s="117"/>
      <c r="O66" s="117"/>
      <c r="P66" s="144"/>
      <c r="Q66" s="144"/>
      <c r="R66" s="144"/>
      <c r="S66" s="144"/>
      <c r="T66" s="117"/>
      <c r="U66" s="117"/>
      <c r="V66" s="117"/>
      <c r="W66" s="117"/>
      <c r="X66" s="117"/>
      <c r="Y66" s="117"/>
      <c r="Z66" s="117"/>
      <c r="AA66" s="117"/>
      <c r="AC66" s="144"/>
      <c r="AN66" s="144"/>
    </row>
    <row r="67" spans="1:40" ht="15" customHeight="1" x14ac:dyDescent="0.2">
      <c r="A67" s="113"/>
      <c r="B67" s="346" t="str">
        <f t="shared" ref="B67:B72" si="4">IF(AND($G$64=$Q$130,E67=""),"&gt;",IF(AND($G$64=$Q$130,E67=$Q$130,F67=""),"&gt;",""))</f>
        <v/>
      </c>
      <c r="C67" s="123" t="str">
        <f>B42</f>
        <v>Wash hand basin taps</v>
      </c>
      <c r="D67" s="166"/>
      <c r="E67" s="261"/>
      <c r="F67" s="269"/>
      <c r="G67" s="121">
        <f>IF(OR(E67=$Q$131,E67=""),0,G42*F67)</f>
        <v>0</v>
      </c>
      <c r="H67" s="148"/>
      <c r="I67" s="144"/>
      <c r="J67" s="144"/>
      <c r="K67" s="144"/>
      <c r="L67" s="144"/>
      <c r="M67" s="144"/>
      <c r="N67" s="144"/>
      <c r="O67" s="144"/>
      <c r="P67" s="144"/>
      <c r="Q67" s="144"/>
      <c r="R67" s="144"/>
      <c r="S67" s="144"/>
      <c r="T67" s="117"/>
      <c r="U67" s="117"/>
      <c r="V67" s="117"/>
      <c r="W67" s="117"/>
      <c r="X67" s="117"/>
      <c r="Y67" s="117"/>
      <c r="Z67" s="117"/>
      <c r="AA67" s="117"/>
      <c r="AC67" s="144"/>
      <c r="AN67" s="144"/>
    </row>
    <row r="68" spans="1:40" ht="15" customHeight="1" x14ac:dyDescent="0.2">
      <c r="A68" s="113"/>
      <c r="B68" s="346" t="str">
        <f t="shared" si="4"/>
        <v/>
      </c>
      <c r="C68" s="123" t="s">
        <v>397</v>
      </c>
      <c r="D68" s="166"/>
      <c r="E68" s="261"/>
      <c r="F68" s="269"/>
      <c r="G68" s="121">
        <f>IF(OR(E68=$Q$131,E68=""),0,(SUM(G43:G44)*F68))</f>
        <v>0</v>
      </c>
      <c r="H68" s="148"/>
      <c r="I68" s="144"/>
      <c r="J68" s="144"/>
      <c r="K68" s="144"/>
      <c r="L68" s="144"/>
      <c r="M68" s="144"/>
      <c r="N68" s="144"/>
      <c r="O68" s="144"/>
      <c r="P68" s="144"/>
      <c r="Q68" s="144"/>
      <c r="R68" s="144"/>
      <c r="S68" s="144"/>
      <c r="T68" s="117"/>
      <c r="U68" s="117"/>
      <c r="V68" s="117"/>
      <c r="W68" s="117"/>
      <c r="X68" s="117"/>
      <c r="Y68" s="117"/>
      <c r="Z68" s="117"/>
      <c r="AA68" s="117"/>
      <c r="AB68" s="164"/>
      <c r="AC68" s="144"/>
      <c r="AN68" s="144"/>
    </row>
    <row r="69" spans="1:40" ht="15" customHeight="1" x14ac:dyDescent="0.2">
      <c r="A69" s="113"/>
      <c r="B69" s="346" t="str">
        <f t="shared" si="4"/>
        <v/>
      </c>
      <c r="C69" s="123" t="str">
        <f>B49</f>
        <v>Kitchen taps - kitchenette</v>
      </c>
      <c r="D69" s="166"/>
      <c r="E69" s="267"/>
      <c r="F69" s="269"/>
      <c r="G69" s="121">
        <f>IF(OR(E69=$Q$131,E69=""),0,G49*F69)</f>
        <v>0</v>
      </c>
      <c r="H69" s="148"/>
      <c r="I69" s="144"/>
      <c r="J69" s="144"/>
      <c r="K69" s="144"/>
      <c r="L69" s="144"/>
      <c r="M69" s="144"/>
      <c r="N69" s="144"/>
      <c r="O69" s="144"/>
      <c r="P69" s="144"/>
      <c r="Q69" s="144"/>
      <c r="R69" s="144"/>
      <c r="S69" s="144"/>
      <c r="T69" s="144"/>
      <c r="U69" s="144"/>
      <c r="V69" s="144"/>
      <c r="W69" s="144"/>
      <c r="X69" s="144"/>
      <c r="Y69" s="144"/>
      <c r="Z69" s="144"/>
      <c r="AA69" s="144"/>
      <c r="AB69" s="164"/>
      <c r="AC69" s="144"/>
      <c r="AN69" s="144"/>
    </row>
    <row r="70" spans="1:40" ht="15" customHeight="1" x14ac:dyDescent="0.2">
      <c r="A70" s="113"/>
      <c r="B70" s="346" t="str">
        <f t="shared" si="4"/>
        <v/>
      </c>
      <c r="C70" s="123" t="s">
        <v>113</v>
      </c>
      <c r="D70" s="166"/>
      <c r="E70" s="271"/>
      <c r="F70" s="269"/>
      <c r="G70" s="121">
        <f>IF(OR(E70=$Q$131,E70=""),0,F70*G50)</f>
        <v>0</v>
      </c>
      <c r="H70" s="148"/>
      <c r="I70" s="144"/>
      <c r="J70" s="144"/>
      <c r="K70" s="144"/>
      <c r="L70" s="144"/>
      <c r="M70" s="144"/>
      <c r="N70" s="144"/>
      <c r="O70" s="144"/>
      <c r="P70" s="144"/>
      <c r="Q70" s="144"/>
      <c r="R70" s="144"/>
      <c r="S70" s="144"/>
      <c r="T70" s="144"/>
      <c r="U70" s="144"/>
      <c r="V70" s="144"/>
      <c r="W70" s="144"/>
      <c r="X70" s="144"/>
      <c r="Y70" s="144"/>
      <c r="Z70" s="144"/>
      <c r="AA70" s="144"/>
      <c r="AB70" s="164"/>
      <c r="AC70" s="144"/>
      <c r="AN70" s="144"/>
    </row>
    <row r="71" spans="1:40" ht="15" customHeight="1" x14ac:dyDescent="0.2">
      <c r="A71" s="113"/>
      <c r="B71" s="346" t="str">
        <f t="shared" si="4"/>
        <v/>
      </c>
      <c r="C71" s="123" t="str">
        <f>B52</f>
        <v>Kitchen taps - pre-rinse nozzle</v>
      </c>
      <c r="D71" s="166"/>
      <c r="E71" s="267"/>
      <c r="F71" s="270"/>
      <c r="G71" s="121">
        <f>IF(OR(E71=$Q$131,E71=""),0,G52*F71)</f>
        <v>0</v>
      </c>
      <c r="H71" s="148"/>
      <c r="I71" s="144"/>
      <c r="J71" s="144"/>
      <c r="K71" s="144"/>
      <c r="L71" s="144"/>
      <c r="M71" s="144"/>
      <c r="N71" s="144"/>
      <c r="O71" s="144"/>
      <c r="P71" s="144"/>
      <c r="Q71" s="144"/>
      <c r="R71" s="144"/>
      <c r="S71" s="144"/>
      <c r="T71" s="144"/>
      <c r="U71" s="144"/>
      <c r="V71" s="144"/>
      <c r="W71" s="144"/>
      <c r="X71" s="144"/>
      <c r="Y71" s="144"/>
      <c r="Z71" s="144"/>
      <c r="AA71" s="144"/>
      <c r="AB71" s="164"/>
      <c r="AC71" s="144"/>
      <c r="AN71" s="144"/>
    </row>
    <row r="72" spans="1:40" ht="15" customHeight="1" x14ac:dyDescent="0.2">
      <c r="A72" s="113"/>
      <c r="B72" s="346" t="str">
        <f t="shared" si="4"/>
        <v/>
      </c>
      <c r="C72" s="123" t="s">
        <v>114</v>
      </c>
      <c r="D72" s="166"/>
      <c r="E72" s="267"/>
      <c r="F72" s="270"/>
      <c r="G72" s="121">
        <f>IF(OR(E72=$Q$131,E72=""),0,F72*G53)</f>
        <v>0</v>
      </c>
      <c r="H72" s="148"/>
      <c r="I72" s="144"/>
      <c r="J72" s="144"/>
      <c r="K72" s="144"/>
      <c r="L72" s="144"/>
      <c r="M72" s="144"/>
      <c r="N72" s="144"/>
      <c r="O72" s="144"/>
      <c r="P72" s="144"/>
      <c r="Q72" s="144"/>
      <c r="R72" s="144"/>
      <c r="S72" s="144"/>
      <c r="T72" s="144"/>
      <c r="U72" s="144"/>
      <c r="V72" s="144"/>
      <c r="W72" s="144"/>
      <c r="X72" s="144"/>
      <c r="Y72" s="144"/>
      <c r="Z72" s="144"/>
      <c r="AA72" s="144"/>
      <c r="AB72" s="164"/>
      <c r="AC72" s="144"/>
      <c r="AN72" s="144"/>
    </row>
    <row r="73" spans="1:40" ht="15" hidden="1" customHeight="1" x14ac:dyDescent="0.2">
      <c r="A73" s="113"/>
      <c r="B73" s="288" t="s">
        <v>735</v>
      </c>
      <c r="C73" s="280" t="s">
        <v>79</v>
      </c>
      <c r="D73" s="281"/>
      <c r="E73" s="285"/>
      <c r="F73" s="286"/>
      <c r="G73" s="282" t="e">
        <f>IF(OR(E73=Q131,E73="",E45="N/A",E46="N/A"),0,(SUM(G45:G46)*F73))</f>
        <v>#N/A</v>
      </c>
      <c r="H73" s="510" t="s">
        <v>735</v>
      </c>
      <c r="I73" s="332"/>
      <c r="J73" s="144"/>
      <c r="K73" s="144"/>
      <c r="L73" s="144"/>
      <c r="M73" s="144"/>
      <c r="N73" s="144"/>
      <c r="O73" s="144"/>
      <c r="P73" s="144"/>
      <c r="Q73" s="144"/>
      <c r="R73" s="144"/>
      <c r="S73" s="144"/>
      <c r="T73" s="144"/>
      <c r="U73" s="144"/>
      <c r="V73" s="144"/>
      <c r="W73" s="144"/>
      <c r="X73" s="144"/>
      <c r="Y73" s="144"/>
      <c r="Z73" s="144"/>
      <c r="AA73" s="144"/>
      <c r="AB73" s="164"/>
      <c r="AC73" s="144"/>
      <c r="AN73" s="144"/>
    </row>
    <row r="74" spans="1:40" ht="15" hidden="1" customHeight="1" x14ac:dyDescent="0.2">
      <c r="A74" s="113"/>
      <c r="B74" s="288" t="s">
        <v>735</v>
      </c>
      <c r="C74" s="283" t="str">
        <f>B55</f>
        <v>Washing machine</v>
      </c>
      <c r="D74" s="284"/>
      <c r="E74" s="260"/>
      <c r="F74" s="287"/>
      <c r="G74" s="121">
        <f>IF(OR(E74=Q132,E74=""),0,F74*G55)</f>
        <v>0</v>
      </c>
      <c r="H74" s="510" t="s">
        <v>735</v>
      </c>
      <c r="I74" s="332"/>
      <c r="J74" s="144"/>
      <c r="K74" s="144"/>
      <c r="L74" s="144"/>
      <c r="M74" s="144"/>
      <c r="N74" s="144"/>
      <c r="O74" s="144"/>
      <c r="P74" s="144"/>
      <c r="Q74" s="144"/>
      <c r="R74" s="144"/>
      <c r="S74" s="144"/>
      <c r="T74" s="144"/>
      <c r="U74" s="144"/>
      <c r="V74" s="144"/>
      <c r="W74" s="144"/>
      <c r="X74" s="144"/>
      <c r="Y74" s="144"/>
      <c r="Z74" s="144"/>
      <c r="AA74" s="144"/>
      <c r="AB74" s="164"/>
      <c r="AC74" s="144"/>
      <c r="AN74" s="144"/>
    </row>
    <row r="75" spans="1:40" ht="24.95" customHeight="1" x14ac:dyDescent="0.2">
      <c r="A75" s="113"/>
      <c r="B75" s="113"/>
      <c r="C75" s="538" t="s">
        <v>168</v>
      </c>
      <c r="D75" s="538" t="s">
        <v>911</v>
      </c>
      <c r="E75" s="538" t="s">
        <v>912</v>
      </c>
      <c r="F75" s="538" t="s">
        <v>913</v>
      </c>
      <c r="G75" s="538" t="s">
        <v>910</v>
      </c>
      <c r="H75" s="619" t="str">
        <f>IF(G64=Q130,N148,"")</f>
        <v/>
      </c>
      <c r="I75" s="603"/>
      <c r="J75" s="603"/>
      <c r="K75" s="603"/>
      <c r="L75" s="603"/>
      <c r="M75" s="603"/>
      <c r="N75" s="144"/>
      <c r="O75" s="144"/>
      <c r="P75" s="144"/>
      <c r="Q75" s="144"/>
      <c r="R75" s="144"/>
      <c r="S75" s="144"/>
      <c r="T75" s="144"/>
      <c r="U75" s="144"/>
      <c r="V75" s="144"/>
      <c r="W75" s="144"/>
      <c r="X75" s="144"/>
      <c r="Y75" s="144"/>
      <c r="Z75" s="144"/>
      <c r="AA75" s="144"/>
      <c r="AB75" s="165"/>
      <c r="AC75" s="144"/>
      <c r="AN75" s="144"/>
    </row>
    <row r="76" spans="1:40" ht="15" customHeight="1" x14ac:dyDescent="0.2">
      <c r="A76" s="113"/>
      <c r="B76" s="113"/>
      <c r="C76" s="130" t="s">
        <v>398</v>
      </c>
      <c r="D76" s="261"/>
      <c r="E76" s="261"/>
      <c r="F76" s="121" t="str">
        <f>IF(D76="","",D76/E76)</f>
        <v/>
      </c>
      <c r="G76" s="121">
        <f>IF(D76="",0,F76/$O$137)</f>
        <v>0</v>
      </c>
      <c r="H76" s="619"/>
      <c r="I76" s="603"/>
      <c r="J76" s="603"/>
      <c r="K76" s="603"/>
      <c r="L76" s="603"/>
      <c r="M76" s="603"/>
      <c r="N76" s="144"/>
      <c r="O76" s="144"/>
      <c r="P76" s="144"/>
      <c r="Q76" s="144"/>
      <c r="R76" s="144"/>
      <c r="S76" s="144"/>
      <c r="T76" s="144"/>
      <c r="U76" s="144"/>
      <c r="V76" s="144"/>
      <c r="W76" s="144"/>
      <c r="X76" s="144"/>
      <c r="Y76" s="144"/>
      <c r="Z76" s="144"/>
      <c r="AA76" s="144"/>
      <c r="AB76" s="164"/>
      <c r="AC76" s="144"/>
      <c r="AN76" s="144"/>
    </row>
    <row r="77" spans="1:40" ht="15" customHeight="1" x14ac:dyDescent="0.2">
      <c r="A77" s="113"/>
      <c r="B77" s="113"/>
      <c r="C77" s="113"/>
      <c r="D77" s="113"/>
      <c r="E77" s="113"/>
      <c r="F77" s="113"/>
      <c r="G77" s="113"/>
      <c r="H77" s="148"/>
      <c r="I77" s="144"/>
      <c r="J77" s="144"/>
      <c r="K77" s="144"/>
      <c r="L77" s="144"/>
      <c r="M77" s="144"/>
      <c r="N77" s="144"/>
      <c r="O77" s="144"/>
      <c r="P77" s="144"/>
      <c r="Q77" s="144"/>
      <c r="R77" s="144"/>
      <c r="S77" s="144"/>
      <c r="T77" s="144"/>
      <c r="U77" s="144"/>
      <c r="V77" s="144"/>
      <c r="W77" s="144"/>
      <c r="X77" s="144"/>
      <c r="Y77" s="144"/>
      <c r="Z77" s="144"/>
      <c r="AA77" s="144"/>
      <c r="AB77" s="164"/>
      <c r="AC77" s="144"/>
      <c r="AN77" s="144"/>
    </row>
    <row r="78" spans="1:40" ht="24.95" customHeight="1" x14ac:dyDescent="0.2">
      <c r="A78" s="113"/>
      <c r="B78" s="113"/>
      <c r="C78" s="113"/>
      <c r="D78" s="113"/>
      <c r="E78" s="113"/>
      <c r="F78" s="113"/>
      <c r="G78" s="538" t="s">
        <v>656</v>
      </c>
      <c r="H78" s="148"/>
      <c r="I78" s="144"/>
      <c r="J78" s="144"/>
      <c r="K78" s="144"/>
      <c r="L78" s="144"/>
      <c r="M78" s="144"/>
      <c r="N78" s="144"/>
      <c r="O78" s="144"/>
      <c r="P78" s="144"/>
      <c r="Q78" s="144"/>
      <c r="R78" s="144"/>
      <c r="S78" s="144"/>
      <c r="T78" s="144"/>
      <c r="U78" s="144"/>
      <c r="V78" s="144"/>
      <c r="W78" s="144"/>
      <c r="X78" s="144"/>
      <c r="Y78" s="144"/>
      <c r="Z78" s="144"/>
      <c r="AA78" s="144"/>
      <c r="AB78" s="164"/>
      <c r="AC78" s="144"/>
      <c r="AN78" s="144"/>
    </row>
    <row r="79" spans="1:40" ht="15" customHeight="1" x14ac:dyDescent="0.2">
      <c r="A79" s="113"/>
      <c r="B79" s="113"/>
      <c r="C79" s="113"/>
      <c r="D79" s="113"/>
      <c r="E79" s="113"/>
      <c r="F79" s="140" t="s">
        <v>5</v>
      </c>
      <c r="G79" s="121" t="str">
        <f>IF(Ind_act=Q129,Q137,IF(OR(G64=Q132,G64=Q131),0,SUM(G67:G74)+G76))</f>
        <v>Requires building information</v>
      </c>
      <c r="H79" s="148"/>
      <c r="I79" s="144"/>
      <c r="J79" s="144"/>
      <c r="K79" s="144"/>
      <c r="L79" s="144"/>
      <c r="M79" s="144"/>
      <c r="N79" s="144"/>
      <c r="O79" s="144"/>
      <c r="P79" s="144"/>
      <c r="Q79" s="144"/>
      <c r="R79" s="144"/>
      <c r="S79" s="144"/>
      <c r="T79" s="144"/>
      <c r="U79" s="144"/>
      <c r="V79" s="144"/>
      <c r="W79" s="144"/>
      <c r="X79" s="144"/>
      <c r="Y79" s="144"/>
      <c r="Z79" s="144"/>
      <c r="AA79" s="144"/>
      <c r="AC79" s="144"/>
      <c r="AN79" s="144"/>
    </row>
    <row r="80" spans="1:40" ht="24.95" customHeight="1" x14ac:dyDescent="0.2">
      <c r="A80" s="113"/>
      <c r="B80" s="113"/>
      <c r="C80" s="113"/>
      <c r="D80" s="113"/>
      <c r="E80" s="113"/>
      <c r="F80" s="113"/>
      <c r="G80" s="114"/>
      <c r="H80" s="148"/>
      <c r="I80" s="144"/>
      <c r="J80" s="144"/>
      <c r="K80" s="144"/>
      <c r="L80" s="144"/>
      <c r="M80" s="144"/>
      <c r="N80" s="144"/>
      <c r="O80" s="144"/>
      <c r="P80" s="144"/>
      <c r="Q80" s="144"/>
      <c r="R80" s="144"/>
      <c r="S80" s="144"/>
      <c r="T80" s="144"/>
      <c r="U80" s="144"/>
      <c r="V80" s="144"/>
      <c r="W80" s="144"/>
      <c r="X80" s="144"/>
      <c r="Y80" s="144"/>
      <c r="Z80" s="144"/>
      <c r="AA80" s="144"/>
      <c r="AC80" s="144"/>
      <c r="AN80" s="144"/>
    </row>
    <row r="81" spans="1:40" ht="32.1" customHeight="1" x14ac:dyDescent="0.2">
      <c r="A81" s="113"/>
      <c r="B81" s="516" t="s">
        <v>914</v>
      </c>
      <c r="C81" s="516"/>
      <c r="D81" s="516"/>
      <c r="E81" s="516"/>
      <c r="F81" s="516"/>
      <c r="G81" s="516"/>
      <c r="H81" s="148"/>
      <c r="I81" s="144"/>
      <c r="J81" s="144"/>
      <c r="K81" s="144"/>
      <c r="L81" s="144"/>
      <c r="M81" s="144"/>
      <c r="N81" s="144"/>
      <c r="O81" s="144"/>
      <c r="P81" s="144"/>
      <c r="Q81" s="144"/>
      <c r="R81" s="144"/>
      <c r="S81" s="144"/>
      <c r="T81" s="144"/>
      <c r="U81" s="144"/>
      <c r="V81" s="144"/>
      <c r="W81" s="144"/>
      <c r="X81" s="144"/>
      <c r="Y81" s="144"/>
      <c r="Z81" s="144"/>
      <c r="AA81" s="144"/>
      <c r="AC81" s="144"/>
      <c r="AN81" s="144"/>
    </row>
    <row r="82" spans="1:40" ht="24.95" customHeight="1" x14ac:dyDescent="0.2">
      <c r="A82" s="113"/>
      <c r="B82" s="136"/>
      <c r="C82" s="136"/>
      <c r="D82" s="113"/>
      <c r="E82" s="113"/>
      <c r="F82" s="113"/>
      <c r="G82" s="114"/>
      <c r="H82" s="148"/>
      <c r="I82" s="144"/>
      <c r="J82" s="144"/>
      <c r="K82" s="144"/>
      <c r="L82" s="144"/>
      <c r="M82" s="144"/>
      <c r="N82" s="144"/>
      <c r="O82" s="144"/>
      <c r="P82" s="144"/>
      <c r="Q82" s="144"/>
      <c r="R82" s="144"/>
      <c r="S82" s="144"/>
      <c r="T82" s="144"/>
      <c r="U82" s="144"/>
      <c r="V82" s="144"/>
      <c r="W82" s="144"/>
      <c r="X82" s="144"/>
      <c r="Y82" s="144"/>
      <c r="Z82" s="144"/>
      <c r="AA82" s="144"/>
      <c r="AC82" s="144"/>
      <c r="AN82" s="144"/>
    </row>
    <row r="83" spans="1:40" ht="15" customHeight="1" x14ac:dyDescent="0.2">
      <c r="A83" s="346" t="str">
        <f>IF(G83=$Q$129,"&gt;","")</f>
        <v>&gt;</v>
      </c>
      <c r="B83" s="115"/>
      <c r="C83" s="132"/>
      <c r="D83" s="133"/>
      <c r="E83" s="133"/>
      <c r="F83" s="134" t="s">
        <v>3</v>
      </c>
      <c r="G83" s="272" t="s">
        <v>654</v>
      </c>
      <c r="H83" s="148"/>
      <c r="I83" s="144"/>
      <c r="J83" s="144"/>
      <c r="K83" s="144"/>
      <c r="L83" s="144"/>
      <c r="M83" s="144"/>
      <c r="N83" s="144"/>
      <c r="O83" s="144"/>
      <c r="P83" s="144"/>
      <c r="Q83" s="144"/>
      <c r="R83" s="144"/>
      <c r="S83" s="144"/>
      <c r="T83" s="144"/>
      <c r="U83" s="144"/>
      <c r="V83" s="144"/>
      <c r="W83" s="144"/>
      <c r="X83" s="144"/>
      <c r="Y83" s="144"/>
      <c r="Z83" s="144"/>
      <c r="AA83" s="144"/>
      <c r="AC83" s="144"/>
      <c r="AN83" s="144"/>
    </row>
    <row r="84" spans="1:40" x14ac:dyDescent="0.2">
      <c r="A84" s="113"/>
      <c r="B84" s="113"/>
      <c r="C84" s="113"/>
      <c r="D84" s="113"/>
      <c r="E84" s="113"/>
      <c r="F84" s="168"/>
      <c r="G84" s="114"/>
      <c r="H84" s="148"/>
      <c r="I84" s="144"/>
      <c r="J84" s="144"/>
      <c r="K84" s="144"/>
      <c r="L84" s="144"/>
      <c r="M84" s="144"/>
      <c r="N84" s="144"/>
      <c r="O84" s="144"/>
      <c r="P84" s="144"/>
      <c r="Q84" s="144"/>
      <c r="R84" s="144"/>
      <c r="S84" s="144"/>
      <c r="T84" s="144"/>
      <c r="U84" s="144"/>
      <c r="V84" s="144"/>
      <c r="W84" s="144"/>
      <c r="X84" s="144"/>
      <c r="Y84" s="144"/>
      <c r="Z84" s="144"/>
      <c r="AA84" s="144"/>
      <c r="AC84" s="144"/>
      <c r="AN84" s="144"/>
    </row>
    <row r="85" spans="1:40" ht="15" customHeight="1" x14ac:dyDescent="0.2">
      <c r="A85" s="346" t="str">
        <f>IF(AND($G$83=$Q$130,G85=$Q$129),"&gt;","")</f>
        <v/>
      </c>
      <c r="B85" s="115"/>
      <c r="C85" s="132"/>
      <c r="D85" s="133"/>
      <c r="E85" s="133"/>
      <c r="F85" s="134" t="s">
        <v>32</v>
      </c>
      <c r="G85" s="272"/>
      <c r="H85" s="148"/>
      <c r="I85" s="144"/>
      <c r="J85" s="144"/>
      <c r="K85" s="144"/>
      <c r="L85" s="144"/>
      <c r="M85" s="144"/>
      <c r="N85" s="144"/>
      <c r="O85" s="144"/>
      <c r="P85" s="144"/>
      <c r="Q85" s="144"/>
      <c r="R85" s="144"/>
      <c r="S85" s="144"/>
      <c r="T85" s="144"/>
      <c r="U85" s="144"/>
      <c r="V85" s="144"/>
      <c r="W85" s="144"/>
      <c r="X85" s="144"/>
      <c r="Y85" s="144"/>
      <c r="Z85" s="144"/>
      <c r="AA85" s="144"/>
      <c r="AC85" s="144"/>
      <c r="AN85" s="144"/>
    </row>
    <row r="86" spans="1:40" ht="24.95" customHeight="1" x14ac:dyDescent="0.2">
      <c r="A86" s="113"/>
      <c r="B86" s="142" t="s">
        <v>915</v>
      </c>
      <c r="C86" s="113"/>
      <c r="D86" s="113"/>
      <c r="E86" s="113"/>
      <c r="F86" s="113"/>
      <c r="G86" s="169"/>
      <c r="H86" s="148"/>
      <c r="I86" s="144"/>
      <c r="J86" s="144"/>
      <c r="K86" s="144"/>
      <c r="L86" s="144"/>
      <c r="M86" s="144"/>
      <c r="N86" s="144"/>
      <c r="O86" s="144"/>
      <c r="P86" s="144"/>
      <c r="Q86" s="144"/>
      <c r="R86" s="144"/>
      <c r="S86" s="144"/>
      <c r="T86" s="144"/>
      <c r="U86" s="144"/>
      <c r="V86" s="144"/>
      <c r="W86" s="144"/>
      <c r="X86" s="144"/>
      <c r="Y86" s="144"/>
      <c r="Z86" s="144"/>
      <c r="AA86" s="144"/>
      <c r="AC86" s="144"/>
      <c r="AN86" s="144"/>
    </row>
    <row r="87" spans="1:40" ht="25.5" x14ac:dyDescent="0.2">
      <c r="A87" s="113"/>
      <c r="B87" s="538" t="s">
        <v>531</v>
      </c>
      <c r="C87" s="538" t="s">
        <v>401</v>
      </c>
      <c r="D87" s="538" t="s">
        <v>400</v>
      </c>
      <c r="E87" s="538" t="s">
        <v>916</v>
      </c>
      <c r="F87" s="538" t="s">
        <v>917</v>
      </c>
      <c r="G87" s="538" t="s">
        <v>918</v>
      </c>
      <c r="H87" s="148"/>
      <c r="I87" s="165"/>
      <c r="J87" s="165"/>
      <c r="K87" s="165"/>
      <c r="L87" s="165"/>
      <c r="M87" s="165"/>
      <c r="N87" s="165"/>
      <c r="O87" s="165"/>
      <c r="P87" s="165"/>
      <c r="Q87" s="165"/>
      <c r="R87" s="165"/>
      <c r="S87" s="165"/>
      <c r="T87" s="165"/>
      <c r="U87" s="165"/>
      <c r="V87" s="165"/>
      <c r="W87" s="165"/>
      <c r="X87" s="165"/>
      <c r="Y87" s="165"/>
      <c r="Z87" s="165"/>
      <c r="AA87" s="165"/>
      <c r="AB87" s="165"/>
      <c r="AC87" s="144"/>
      <c r="AN87" s="144"/>
    </row>
    <row r="88" spans="1:40" ht="15" customHeight="1" x14ac:dyDescent="0.2">
      <c r="A88" s="346" t="str">
        <f>IF(AND($G$83=$Q$130,$G$85=$S$130,OR(B88="",C88="",D88="",E88="")),"&gt;","")</f>
        <v/>
      </c>
      <c r="B88" s="261"/>
      <c r="C88" s="261"/>
      <c r="D88" s="277"/>
      <c r="E88" s="277"/>
      <c r="F88" s="135">
        <f>B88*E88*D88*C88</f>
        <v>0</v>
      </c>
      <c r="G88" s="119" t="str">
        <f>IF(ISERROR(IF(OR(G83=Q132,G83=Q131,G85=S131),0,(F88/365)/O137)),Q137,IF(OR(G83=Q132,G83=Q131,G85=S131),0,(F88/365)/O137))</f>
        <v>Requires building information</v>
      </c>
      <c r="H88" s="148"/>
      <c r="I88" s="164"/>
      <c r="J88" s="164"/>
      <c r="K88" s="164"/>
      <c r="L88" s="164"/>
      <c r="M88" s="164"/>
      <c r="N88" s="164"/>
      <c r="O88" s="164"/>
      <c r="P88" s="164"/>
      <c r="Q88" s="164"/>
      <c r="R88" s="164"/>
      <c r="S88" s="164"/>
      <c r="T88" s="164"/>
      <c r="U88" s="164"/>
      <c r="V88" s="164"/>
      <c r="W88" s="164"/>
      <c r="X88" s="164"/>
      <c r="Y88" s="164"/>
      <c r="Z88" s="164"/>
      <c r="AA88" s="164"/>
      <c r="AB88" s="164"/>
      <c r="AC88" s="144"/>
      <c r="AN88" s="144"/>
    </row>
    <row r="89" spans="1:40" ht="24.95" customHeight="1" x14ac:dyDescent="0.2">
      <c r="A89" s="113"/>
      <c r="B89" s="113"/>
      <c r="C89" s="113"/>
      <c r="D89" s="113"/>
      <c r="E89" s="113"/>
      <c r="F89" s="142" t="s">
        <v>162</v>
      </c>
      <c r="G89" s="114"/>
      <c r="H89" s="148"/>
      <c r="I89" s="165"/>
      <c r="J89" s="165"/>
      <c r="K89" s="165"/>
      <c r="L89" s="165"/>
      <c r="M89" s="165"/>
      <c r="N89" s="165"/>
      <c r="O89" s="165"/>
      <c r="P89" s="165"/>
      <c r="Q89" s="165"/>
      <c r="R89" s="165"/>
      <c r="S89" s="165"/>
      <c r="T89" s="165"/>
      <c r="U89" s="165"/>
      <c r="V89" s="165"/>
      <c r="W89" s="165"/>
      <c r="X89" s="165"/>
      <c r="Y89" s="165"/>
      <c r="Z89" s="165"/>
      <c r="AA89" s="165"/>
      <c r="AB89" s="165"/>
      <c r="AC89" s="144"/>
      <c r="AN89" s="144"/>
    </row>
    <row r="90" spans="1:40" ht="25.5" x14ac:dyDescent="0.2">
      <c r="A90" s="113"/>
      <c r="B90" s="113"/>
      <c r="C90" s="113"/>
      <c r="D90" s="113"/>
      <c r="E90" s="113"/>
      <c r="F90" s="538" t="s">
        <v>403</v>
      </c>
      <c r="G90" s="538" t="s">
        <v>919</v>
      </c>
      <c r="H90" s="148"/>
      <c r="I90" s="164"/>
      <c r="J90" s="164"/>
      <c r="K90" s="164"/>
      <c r="L90" s="164"/>
      <c r="M90" s="164"/>
      <c r="N90" s="164"/>
      <c r="O90" s="164"/>
      <c r="P90" s="164"/>
      <c r="Q90" s="164"/>
      <c r="R90" s="164"/>
      <c r="S90" s="164"/>
      <c r="T90" s="164"/>
      <c r="U90" s="164"/>
      <c r="V90" s="164"/>
      <c r="W90" s="164"/>
      <c r="X90" s="164"/>
      <c r="Y90" s="164"/>
      <c r="Z90" s="164"/>
      <c r="AA90" s="164"/>
      <c r="AB90" s="164"/>
      <c r="AC90" s="144"/>
      <c r="AN90" s="144"/>
    </row>
    <row r="91" spans="1:40" ht="15" customHeight="1" x14ac:dyDescent="0.2">
      <c r="A91" s="113"/>
      <c r="B91" s="113"/>
      <c r="C91" s="113"/>
      <c r="D91" s="113"/>
      <c r="E91" s="346" t="str">
        <f>IF(AND($G$83=$Q$130,$G$85=$S$131,F91=""),"&gt;","")</f>
        <v/>
      </c>
      <c r="F91" s="261"/>
      <c r="G91" s="119" t="str">
        <f>IF(ISERROR(IF(OR(G85=S130,G83=Q132,G83=Q131),0,(F91/O137))),Q137,IF(OR(G85=S130,G83=Q132,G83=Q131),0,(F91/O137)))</f>
        <v>Requires building information</v>
      </c>
      <c r="H91" s="164"/>
      <c r="I91" s="164"/>
      <c r="J91" s="164"/>
      <c r="K91" s="164"/>
      <c r="L91" s="164"/>
      <c r="M91" s="164"/>
      <c r="N91" s="164"/>
      <c r="O91" s="164"/>
      <c r="P91" s="164"/>
      <c r="Q91" s="164"/>
      <c r="R91" s="164"/>
      <c r="S91" s="164"/>
      <c r="T91" s="164"/>
      <c r="U91" s="164"/>
      <c r="V91" s="164"/>
      <c r="W91" s="164"/>
      <c r="X91" s="164"/>
      <c r="Y91" s="164"/>
      <c r="Z91" s="164"/>
      <c r="AA91" s="164"/>
      <c r="AB91" s="164"/>
      <c r="AC91" s="144"/>
      <c r="AN91" s="144"/>
    </row>
    <row r="92" spans="1:40" ht="24.95" customHeight="1" x14ac:dyDescent="0.2">
      <c r="A92" s="113"/>
      <c r="B92" s="113"/>
      <c r="C92" s="113"/>
      <c r="D92" s="113"/>
      <c r="E92" s="113"/>
      <c r="F92" s="113"/>
      <c r="G92" s="114"/>
      <c r="H92" s="148"/>
      <c r="I92" s="144"/>
      <c r="J92" s="144"/>
      <c r="K92" s="144"/>
      <c r="L92" s="144"/>
      <c r="M92" s="144"/>
      <c r="N92" s="144"/>
      <c r="O92" s="144"/>
      <c r="P92" s="144"/>
      <c r="Q92" s="144"/>
      <c r="R92" s="144"/>
      <c r="S92" s="144"/>
      <c r="T92" s="144"/>
      <c r="U92" s="144"/>
      <c r="V92" s="144"/>
      <c r="W92" s="144"/>
      <c r="X92" s="144"/>
      <c r="Y92" s="144"/>
      <c r="Z92" s="144"/>
      <c r="AA92" s="144"/>
      <c r="AC92" s="144"/>
      <c r="AN92" s="144"/>
    </row>
    <row r="93" spans="1:40" ht="32.1" customHeight="1" x14ac:dyDescent="0.2">
      <c r="A93" s="113"/>
      <c r="B93" s="516" t="s">
        <v>628</v>
      </c>
      <c r="C93" s="516"/>
      <c r="D93" s="516"/>
      <c r="E93" s="516"/>
      <c r="F93" s="516"/>
      <c r="G93" s="516"/>
      <c r="H93" s="148"/>
      <c r="I93" s="144"/>
      <c r="J93" s="144"/>
      <c r="K93" s="144"/>
      <c r="L93" s="144"/>
      <c r="M93" s="144"/>
      <c r="N93" s="144"/>
      <c r="O93" s="144"/>
      <c r="P93" s="144"/>
      <c r="Q93" s="144"/>
      <c r="R93" s="144"/>
      <c r="S93" s="144"/>
      <c r="T93" s="144"/>
      <c r="U93" s="144"/>
      <c r="V93" s="144"/>
      <c r="W93" s="144"/>
      <c r="X93" s="144"/>
      <c r="Y93" s="144"/>
      <c r="Z93" s="144"/>
      <c r="AA93" s="144"/>
      <c r="AC93" s="144"/>
      <c r="AN93" s="144"/>
    </row>
    <row r="94" spans="1:40" ht="24.95" customHeight="1" x14ac:dyDescent="0.2">
      <c r="A94" s="113"/>
      <c r="B94" s="113"/>
      <c r="C94" s="113"/>
      <c r="D94" s="113"/>
      <c r="E94" s="113"/>
      <c r="F94" s="113"/>
      <c r="G94" s="114"/>
      <c r="H94" s="148"/>
      <c r="I94" s="144"/>
      <c r="J94" s="144"/>
      <c r="K94" s="144"/>
      <c r="L94" s="144"/>
      <c r="M94" s="144"/>
      <c r="N94" s="144"/>
      <c r="O94" s="144"/>
      <c r="P94" s="144"/>
      <c r="Q94" s="144"/>
      <c r="R94" s="144"/>
      <c r="S94" s="144"/>
      <c r="T94" s="144"/>
      <c r="U94" s="144"/>
      <c r="V94" s="144"/>
      <c r="W94" s="144"/>
      <c r="X94" s="144"/>
      <c r="Y94" s="144"/>
      <c r="Z94" s="144"/>
      <c r="AA94" s="144"/>
      <c r="AC94" s="144"/>
      <c r="AN94" s="144"/>
    </row>
    <row r="95" spans="1:40" ht="24.95" customHeight="1" x14ac:dyDescent="0.2">
      <c r="A95" s="113"/>
      <c r="B95" s="113"/>
      <c r="C95" s="113"/>
      <c r="D95" s="113"/>
      <c r="E95" s="113"/>
      <c r="F95" s="113"/>
      <c r="G95" s="538" t="s">
        <v>658</v>
      </c>
      <c r="H95" s="148"/>
      <c r="I95" s="144"/>
      <c r="J95" s="144"/>
      <c r="K95" s="144"/>
      <c r="L95" s="144"/>
      <c r="M95" s="144"/>
      <c r="N95" s="144"/>
      <c r="O95" s="144"/>
      <c r="P95" s="144"/>
      <c r="Q95" s="144"/>
      <c r="R95" s="144"/>
      <c r="S95" s="144"/>
      <c r="T95" s="144"/>
      <c r="U95" s="144"/>
      <c r="V95" s="144"/>
      <c r="W95" s="144"/>
      <c r="X95" s="144"/>
      <c r="Y95" s="144"/>
      <c r="Z95" s="144"/>
      <c r="AA95" s="144"/>
      <c r="AC95" s="144"/>
      <c r="AN95" s="144"/>
    </row>
    <row r="96" spans="1:40" ht="15" customHeight="1" x14ac:dyDescent="0.2">
      <c r="A96" s="113"/>
      <c r="B96" s="113"/>
      <c r="C96" s="113"/>
      <c r="D96" s="113"/>
      <c r="E96" s="113"/>
      <c r="F96" s="140" t="s">
        <v>5</v>
      </c>
      <c r="G96" s="119" t="str">
        <f>IF(ISERROR(G91+G88+G79),Q137,G91+G88+G79)</f>
        <v>Requires building information</v>
      </c>
      <c r="H96" s="148"/>
      <c r="I96" s="144"/>
      <c r="J96" s="144"/>
      <c r="K96" s="144"/>
      <c r="L96" s="144"/>
      <c r="M96" s="144"/>
      <c r="N96" s="144"/>
      <c r="O96" s="144"/>
      <c r="P96" s="144"/>
      <c r="Q96" s="144"/>
      <c r="R96" s="144"/>
      <c r="S96" s="144"/>
      <c r="T96" s="144"/>
      <c r="U96" s="144"/>
      <c r="V96" s="144"/>
      <c r="W96" s="144"/>
      <c r="X96" s="144"/>
      <c r="Y96" s="144"/>
      <c r="Z96" s="144"/>
      <c r="AA96" s="144"/>
      <c r="AC96" s="144"/>
      <c r="AN96" s="144"/>
    </row>
    <row r="97" spans="1:40" x14ac:dyDescent="0.2">
      <c r="A97" s="113"/>
      <c r="B97" s="113"/>
      <c r="C97" s="113"/>
      <c r="D97" s="113"/>
      <c r="E97" s="113"/>
      <c r="F97" s="113"/>
      <c r="G97" s="114"/>
      <c r="H97" s="148"/>
      <c r="I97" s="144"/>
      <c r="J97" s="144"/>
      <c r="K97" s="144"/>
      <c r="L97" s="144"/>
      <c r="M97" s="144"/>
      <c r="N97" s="144"/>
      <c r="O97" s="144"/>
      <c r="P97" s="144"/>
      <c r="Q97" s="144"/>
      <c r="R97" s="144"/>
      <c r="S97" s="144"/>
      <c r="T97" s="144"/>
      <c r="U97" s="144"/>
      <c r="V97" s="144"/>
      <c r="W97" s="144"/>
      <c r="X97" s="144"/>
      <c r="Y97" s="144"/>
      <c r="Z97" s="144"/>
      <c r="AA97" s="144"/>
      <c r="AC97" s="144"/>
      <c r="AN97" s="144"/>
    </row>
    <row r="98" spans="1:40" ht="39" customHeight="1" x14ac:dyDescent="0.2">
      <c r="A98" s="113"/>
      <c r="B98" s="113"/>
      <c r="C98" s="113"/>
      <c r="D98" s="538" t="s">
        <v>384</v>
      </c>
      <c r="E98" s="538" t="s">
        <v>920</v>
      </c>
      <c r="F98" s="538" t="s">
        <v>161</v>
      </c>
      <c r="G98" s="538" t="s">
        <v>1</v>
      </c>
      <c r="H98" s="148"/>
      <c r="I98" s="144"/>
      <c r="J98" s="144"/>
      <c r="K98" s="144"/>
      <c r="L98" s="144"/>
      <c r="M98" s="144"/>
      <c r="N98" s="144"/>
      <c r="O98" s="144"/>
      <c r="P98" s="144"/>
      <c r="Q98" s="144"/>
      <c r="R98" s="144"/>
      <c r="S98" s="144"/>
      <c r="T98" s="144"/>
      <c r="U98" s="144"/>
      <c r="V98" s="144"/>
      <c r="W98" s="144"/>
      <c r="X98" s="144"/>
      <c r="Y98" s="144"/>
      <c r="Z98" s="144"/>
      <c r="AA98" s="144"/>
      <c r="AC98" s="144"/>
      <c r="AN98" s="144"/>
    </row>
    <row r="99" spans="1:40" ht="15" customHeight="1" x14ac:dyDescent="0.2">
      <c r="A99" s="113"/>
      <c r="B99" s="113"/>
      <c r="C99" s="346" t="str">
        <f>IF(AND(OR($G$64=$Q$129,$G$64=$Q$131,$G$64=$Q$132),OR($G$83=$Q$129,$G$83=$Q$131,$G$83=$Q$132)),"",IF(E99=$Q$131,"",IF(OR(E99="",F99=""),"&gt;","")))</f>
        <v/>
      </c>
      <c r="D99" s="205" t="s">
        <v>269</v>
      </c>
      <c r="E99" s="273"/>
      <c r="F99" s="274"/>
      <c r="G99" s="206">
        <f>IF(E99="no",0,F99*SUM(G27:G28))</f>
        <v>0</v>
      </c>
      <c r="H99" s="148"/>
      <c r="I99" s="144"/>
      <c r="J99" s="144"/>
      <c r="K99" s="144"/>
      <c r="L99" s="144"/>
      <c r="M99" s="144"/>
      <c r="N99" s="144"/>
      <c r="O99" s="144"/>
      <c r="P99" s="144"/>
      <c r="Q99" s="144"/>
      <c r="R99" s="144"/>
      <c r="S99" s="144"/>
      <c r="T99" s="144"/>
      <c r="U99" s="144"/>
      <c r="V99" s="144"/>
      <c r="W99" s="144"/>
      <c r="X99" s="144"/>
      <c r="Y99" s="144"/>
      <c r="Z99" s="144"/>
      <c r="AA99" s="144"/>
      <c r="AC99" s="144"/>
      <c r="AN99" s="144"/>
    </row>
    <row r="100" spans="1:40" ht="15" customHeight="1" x14ac:dyDescent="0.2">
      <c r="A100" s="113"/>
      <c r="B100" s="113"/>
      <c r="C100" s="346" t="str">
        <f>IF(B27=R131,"",IF(AND(OR($G$64=$Q$129,$G$64=$Q$131,$G$64=$Q$132),OR($G$83=$Q$129,$G$83=$Q$131,$G$83=$Q$132)),"",IF(E100=$Q$131,"",IF(OR(E100="",F100=""),"&gt;",""))))</f>
        <v/>
      </c>
      <c r="D100" s="205" t="s">
        <v>270</v>
      </c>
      <c r="E100" s="273"/>
      <c r="F100" s="274"/>
      <c r="G100" s="206">
        <f>IF(OR(E100="no",B27=R131),0,F100*SUM(G31:G37))</f>
        <v>0</v>
      </c>
      <c r="H100" s="148"/>
      <c r="I100" s="144"/>
      <c r="J100" s="144"/>
      <c r="K100" s="144"/>
      <c r="L100" s="144"/>
      <c r="M100" s="144"/>
      <c r="N100" s="144"/>
      <c r="O100" s="144"/>
      <c r="P100" s="144"/>
      <c r="Q100" s="144"/>
      <c r="R100" s="144"/>
      <c r="S100" s="144"/>
      <c r="T100" s="144"/>
      <c r="U100" s="144"/>
      <c r="V100" s="144"/>
      <c r="W100" s="144"/>
      <c r="X100" s="144"/>
      <c r="Y100" s="144"/>
      <c r="Z100" s="144"/>
      <c r="AA100" s="144"/>
      <c r="AC100" s="144"/>
      <c r="AN100" s="144"/>
    </row>
    <row r="101" spans="1:40" ht="24.95" customHeight="1" x14ac:dyDescent="0.2">
      <c r="A101" s="113"/>
      <c r="B101" s="113"/>
      <c r="C101" s="113"/>
      <c r="D101" s="113"/>
      <c r="E101" s="113"/>
      <c r="F101" s="113"/>
      <c r="G101" s="538" t="s">
        <v>659</v>
      </c>
      <c r="H101" s="148"/>
      <c r="I101" s="144"/>
      <c r="J101" s="144"/>
      <c r="K101" s="144"/>
      <c r="L101" s="144"/>
      <c r="M101" s="144"/>
      <c r="N101" s="144"/>
      <c r="O101" s="144"/>
      <c r="P101" s="144"/>
      <c r="Q101" s="144"/>
      <c r="R101" s="144"/>
      <c r="S101" s="144"/>
      <c r="T101" s="144"/>
      <c r="U101" s="144"/>
      <c r="V101" s="144"/>
      <c r="W101" s="144"/>
      <c r="X101" s="144"/>
      <c r="Y101" s="144"/>
      <c r="Z101" s="144"/>
      <c r="AA101" s="144"/>
      <c r="AC101" s="144"/>
      <c r="AN101" s="144"/>
    </row>
    <row r="102" spans="1:40" ht="15" customHeight="1" x14ac:dyDescent="0.2">
      <c r="A102" s="113"/>
      <c r="B102" s="113"/>
      <c r="C102" s="113"/>
      <c r="D102" s="113"/>
      <c r="E102" s="113"/>
      <c r="F102" s="207" t="s">
        <v>5</v>
      </c>
      <c r="G102" s="119">
        <f>IF((SUM(G99:G100))&gt;G96,G96,SUM(G99:G100))</f>
        <v>0</v>
      </c>
      <c r="H102" s="148"/>
      <c r="I102" s="144"/>
      <c r="J102" s="144"/>
      <c r="K102" s="144"/>
      <c r="L102" s="144"/>
      <c r="M102" s="144"/>
      <c r="N102" s="144"/>
      <c r="O102" s="144"/>
      <c r="P102" s="144"/>
      <c r="Q102" s="144"/>
      <c r="R102" s="144"/>
      <c r="S102" s="144"/>
      <c r="T102" s="144"/>
      <c r="U102" s="144"/>
      <c r="V102" s="144"/>
      <c r="W102" s="144"/>
      <c r="X102" s="144"/>
      <c r="Y102" s="144"/>
      <c r="Z102" s="144"/>
      <c r="AA102" s="144"/>
      <c r="AC102" s="144"/>
      <c r="AN102" s="144"/>
    </row>
    <row r="103" spans="1:40" ht="24.95" customHeight="1" x14ac:dyDescent="0.2">
      <c r="A103" s="113"/>
      <c r="B103" s="113"/>
      <c r="C103" s="117"/>
      <c r="D103" s="142" t="s">
        <v>655</v>
      </c>
      <c r="E103" s="113"/>
      <c r="F103" s="113"/>
      <c r="G103" s="114"/>
      <c r="H103" s="148"/>
      <c r="I103" s="144"/>
      <c r="J103" s="144"/>
      <c r="K103" s="144"/>
      <c r="L103" s="144"/>
      <c r="M103" s="144"/>
      <c r="N103" s="144"/>
      <c r="O103" s="144"/>
      <c r="P103" s="144"/>
      <c r="Q103" s="144"/>
      <c r="R103" s="144"/>
      <c r="S103" s="144"/>
      <c r="T103" s="144"/>
      <c r="U103" s="144"/>
      <c r="V103" s="144"/>
      <c r="W103" s="144"/>
      <c r="X103" s="144"/>
      <c r="Y103" s="144"/>
      <c r="Z103" s="144"/>
      <c r="AA103" s="144"/>
      <c r="AC103" s="144"/>
      <c r="AN103" s="144"/>
    </row>
    <row r="104" spans="1:40" ht="15" customHeight="1" x14ac:dyDescent="0.2">
      <c r="A104" s="113"/>
      <c r="B104" s="113"/>
      <c r="C104" s="346" t="str">
        <f>IF(AND(OR($G$64=$Q$129,$G$64=$Q$131,$G$64=$Q$132),OR($G$83=$Q$129,$G$83=$Q$131,$G$83=$Q$132)),"",IF(G104=$Q$129,"&gt;",""))</f>
        <v/>
      </c>
      <c r="D104" s="257"/>
      <c r="E104" s="166"/>
      <c r="F104" s="134" t="s">
        <v>0</v>
      </c>
      <c r="G104" s="275"/>
      <c r="H104" s="148"/>
      <c r="I104" s="144"/>
      <c r="J104" s="144"/>
      <c r="K104" s="144"/>
      <c r="L104" s="144"/>
      <c r="M104" s="144"/>
      <c r="N104" s="144"/>
      <c r="O104" s="144"/>
      <c r="P104" s="144"/>
      <c r="Q104" s="144"/>
      <c r="R104" s="144"/>
      <c r="S104" s="144"/>
      <c r="T104" s="144"/>
      <c r="U104" s="144"/>
      <c r="V104" s="144"/>
      <c r="W104" s="144"/>
      <c r="X104" s="144"/>
      <c r="Y104" s="144"/>
      <c r="Z104" s="144"/>
      <c r="AA104" s="144"/>
      <c r="AC104" s="144"/>
      <c r="AN104" s="144"/>
    </row>
    <row r="105" spans="1:40" ht="24.95" customHeight="1" x14ac:dyDescent="0.2">
      <c r="A105" s="113"/>
      <c r="B105" s="113"/>
      <c r="C105" s="117"/>
      <c r="D105" s="113"/>
      <c r="E105" s="113"/>
      <c r="F105" s="113"/>
      <c r="G105" s="538" t="s">
        <v>616</v>
      </c>
      <c r="H105" s="148"/>
      <c r="I105" s="144"/>
      <c r="J105" s="144"/>
      <c r="K105" s="144"/>
      <c r="L105" s="144"/>
      <c r="M105" s="144"/>
      <c r="N105" s="144"/>
      <c r="O105" s="144"/>
      <c r="P105" s="144"/>
      <c r="Q105" s="144"/>
      <c r="R105" s="144"/>
      <c r="S105" s="144"/>
      <c r="T105" s="144"/>
      <c r="U105" s="144"/>
      <c r="V105" s="144"/>
      <c r="W105" s="144"/>
      <c r="X105" s="144"/>
      <c r="Y105" s="144"/>
      <c r="Z105" s="144"/>
      <c r="AA105" s="144"/>
      <c r="AC105" s="144"/>
      <c r="AN105" s="144"/>
    </row>
    <row r="106" spans="1:40" ht="15" customHeight="1" x14ac:dyDescent="0.2">
      <c r="A106" s="113"/>
      <c r="B106" s="113"/>
      <c r="C106" s="117"/>
      <c r="D106" s="113"/>
      <c r="E106" s="113"/>
      <c r="F106" s="113"/>
      <c r="G106" s="210" t="str">
        <f>IF(ISERROR(IF(AND(G104="yes",G102&gt;G96),0,(G96-G102)*O137)),Q137,IF(AND(G104="yes",G102&gt;G96),0,(G96-G102)*O137))</f>
        <v>Requires building information</v>
      </c>
      <c r="H106" s="148"/>
      <c r="I106" s="144"/>
      <c r="J106" s="144"/>
      <c r="K106" s="144"/>
      <c r="L106" s="144"/>
      <c r="M106" s="144"/>
      <c r="N106" s="144"/>
      <c r="O106" s="144"/>
      <c r="P106" s="144"/>
      <c r="Q106" s="144"/>
      <c r="R106" s="144"/>
      <c r="S106" s="144"/>
      <c r="T106" s="144"/>
      <c r="U106" s="144"/>
      <c r="V106" s="144"/>
      <c r="W106" s="144"/>
      <c r="X106" s="144"/>
      <c r="Y106" s="144"/>
      <c r="Z106" s="144"/>
      <c r="AA106" s="144"/>
      <c r="AC106" s="144"/>
      <c r="AN106" s="144"/>
    </row>
    <row r="107" spans="1:40" ht="15" customHeight="1" x14ac:dyDescent="0.2">
      <c r="A107" s="113"/>
      <c r="B107" s="113"/>
      <c r="C107" s="346" t="str">
        <f>IF(AND(OR($G$64=$Q$129,$G$64=$Q$131,$G$64=$Q$132),OR($G$83=$Q$129,$G$83=$Q$131,$G$83=$Q$132)),"",IF(AND(G104=$Q$130,G107=""),"&gt;",""))</f>
        <v/>
      </c>
      <c r="D107" s="208"/>
      <c r="E107" s="209"/>
      <c r="F107" s="134" t="s">
        <v>2</v>
      </c>
      <c r="G107" s="276"/>
      <c r="H107" s="148"/>
      <c r="I107" s="144"/>
      <c r="J107" s="144"/>
      <c r="K107" s="144"/>
      <c r="L107" s="144"/>
      <c r="M107" s="144"/>
      <c r="N107" s="144"/>
      <c r="O107" s="144"/>
      <c r="P107" s="144"/>
      <c r="Q107" s="144"/>
      <c r="R107" s="144"/>
      <c r="S107" s="144"/>
      <c r="T107" s="144"/>
      <c r="U107" s="144"/>
      <c r="V107" s="144"/>
      <c r="W107" s="144"/>
      <c r="X107" s="144"/>
      <c r="Y107" s="144"/>
      <c r="Z107" s="144"/>
      <c r="AA107" s="144"/>
      <c r="AC107" s="144"/>
      <c r="AN107" s="144"/>
    </row>
    <row r="108" spans="1:40" ht="24.95" customHeight="1" x14ac:dyDescent="0.2">
      <c r="A108" s="113"/>
      <c r="B108" s="113"/>
      <c r="C108" s="117"/>
      <c r="D108" s="113"/>
      <c r="E108" s="113"/>
      <c r="F108" s="113"/>
      <c r="G108" s="538" t="s">
        <v>921</v>
      </c>
      <c r="H108" s="148"/>
      <c r="I108" s="144"/>
      <c r="J108" s="144"/>
      <c r="K108" s="144"/>
      <c r="L108" s="144"/>
      <c r="M108" s="144"/>
      <c r="N108" s="144"/>
      <c r="O108" s="144"/>
      <c r="P108" s="144"/>
      <c r="Q108" s="144"/>
      <c r="R108" s="144"/>
      <c r="S108" s="144"/>
      <c r="T108" s="144"/>
      <c r="U108" s="144"/>
      <c r="V108" s="144"/>
      <c r="W108" s="144"/>
      <c r="X108" s="144"/>
      <c r="Y108" s="144"/>
      <c r="Z108" s="144"/>
      <c r="AA108" s="144"/>
      <c r="AC108" s="144"/>
      <c r="AN108" s="144"/>
    </row>
    <row r="109" spans="1:40" ht="15" customHeight="1" x14ac:dyDescent="0.2">
      <c r="A109" s="113"/>
      <c r="B109" s="113"/>
      <c r="C109" s="113"/>
      <c r="D109" s="113"/>
      <c r="E109" s="113"/>
      <c r="F109" s="140" t="s">
        <v>5</v>
      </c>
      <c r="G109" s="206" t="str">
        <f>IF(ISERROR((G107*G106)/O137),Q137,(G107*G106)/O137)</f>
        <v>Requires building information</v>
      </c>
      <c r="H109" s="148"/>
      <c r="I109" s="144"/>
      <c r="J109" s="144"/>
      <c r="K109" s="144"/>
      <c r="L109" s="144"/>
      <c r="M109" s="144"/>
      <c r="N109" s="144"/>
      <c r="O109" s="144"/>
      <c r="P109" s="144"/>
      <c r="Q109" s="144"/>
      <c r="R109" s="144"/>
      <c r="S109" s="144"/>
      <c r="T109" s="144"/>
      <c r="U109" s="144"/>
      <c r="V109" s="144"/>
      <c r="W109" s="144"/>
      <c r="X109" s="144"/>
      <c r="Y109" s="144"/>
      <c r="Z109" s="144"/>
      <c r="AA109" s="144"/>
    </row>
    <row r="110" spans="1:40" ht="15" customHeight="1" x14ac:dyDescent="0.2">
      <c r="A110" s="113"/>
      <c r="B110" s="113"/>
      <c r="C110" s="113"/>
      <c r="D110" s="113"/>
      <c r="E110" s="113"/>
      <c r="F110" s="113"/>
      <c r="G110" s="114"/>
      <c r="H110" s="148"/>
      <c r="I110" s="144"/>
      <c r="J110" s="144"/>
      <c r="K110" s="144"/>
      <c r="L110" s="144"/>
      <c r="M110" s="144"/>
      <c r="N110" s="144"/>
      <c r="O110" s="144"/>
      <c r="P110" s="144"/>
      <c r="Q110" s="144"/>
      <c r="R110" s="144"/>
      <c r="S110" s="144"/>
      <c r="T110" s="144"/>
      <c r="U110" s="144"/>
      <c r="V110" s="144"/>
      <c r="W110" s="144"/>
      <c r="X110" s="144"/>
      <c r="Y110" s="144"/>
      <c r="Z110" s="144"/>
      <c r="AA110" s="144"/>
    </row>
    <row r="111" spans="1:40" ht="39" customHeight="1" x14ac:dyDescent="0.2">
      <c r="A111" s="113"/>
      <c r="B111" s="113"/>
      <c r="C111" s="113"/>
      <c r="D111" s="113"/>
      <c r="E111" s="113"/>
      <c r="F111" s="113"/>
      <c r="G111" s="538" t="s">
        <v>660</v>
      </c>
      <c r="H111" s="148"/>
      <c r="I111" s="144"/>
      <c r="J111" s="144"/>
      <c r="K111" s="144"/>
      <c r="L111" s="144"/>
      <c r="M111" s="144"/>
      <c r="N111" s="144"/>
      <c r="O111" s="144"/>
      <c r="P111" s="144"/>
      <c r="Q111" s="144"/>
      <c r="R111" s="144"/>
      <c r="S111" s="144"/>
      <c r="T111" s="144"/>
      <c r="U111" s="144"/>
      <c r="V111" s="144"/>
      <c r="W111" s="144"/>
      <c r="X111" s="144"/>
      <c r="Y111" s="144"/>
      <c r="Z111" s="144"/>
      <c r="AA111" s="144"/>
    </row>
    <row r="112" spans="1:40" ht="15" customHeight="1" x14ac:dyDescent="0.2">
      <c r="A112" s="113"/>
      <c r="B112" s="113"/>
      <c r="C112" s="113"/>
      <c r="D112" s="113"/>
      <c r="E112" s="113"/>
      <c r="F112" s="140" t="s">
        <v>630</v>
      </c>
      <c r="G112" s="119" t="str">
        <f>IF(ISERROR(G102+G109),Q137,G102+G109)</f>
        <v>Requires building information</v>
      </c>
      <c r="H112" s="148"/>
      <c r="I112" s="144"/>
      <c r="J112" s="144"/>
      <c r="K112" s="144"/>
      <c r="L112" s="144"/>
      <c r="M112" s="144"/>
      <c r="N112" s="144"/>
      <c r="O112" s="144"/>
      <c r="P112" s="144"/>
      <c r="Q112" s="144"/>
      <c r="R112" s="144"/>
      <c r="S112" s="144"/>
      <c r="T112" s="144"/>
      <c r="U112" s="144"/>
      <c r="V112" s="144"/>
      <c r="W112" s="144"/>
      <c r="X112" s="144"/>
      <c r="Y112" s="144"/>
      <c r="Z112" s="144"/>
      <c r="AA112" s="144"/>
    </row>
    <row r="113" spans="1:27" ht="24.95" customHeight="1" x14ac:dyDescent="0.2">
      <c r="A113" s="113"/>
      <c r="B113" s="113"/>
      <c r="C113" s="113"/>
      <c r="D113" s="113"/>
      <c r="E113" s="113"/>
      <c r="F113" s="113"/>
      <c r="G113" s="114"/>
      <c r="H113" s="148"/>
      <c r="I113" s="144"/>
      <c r="J113" s="144"/>
      <c r="K113" s="144"/>
      <c r="L113" s="144"/>
      <c r="M113" s="144"/>
      <c r="N113" s="144"/>
      <c r="O113" s="144"/>
      <c r="P113" s="144"/>
      <c r="Q113" s="144"/>
      <c r="R113" s="144"/>
      <c r="S113" s="144"/>
      <c r="T113" s="144"/>
      <c r="U113" s="144"/>
      <c r="V113" s="144"/>
      <c r="W113" s="144"/>
      <c r="X113" s="144"/>
      <c r="Y113" s="144"/>
      <c r="Z113" s="144"/>
      <c r="AA113" s="144"/>
    </row>
    <row r="114" spans="1:27" ht="32.1" customHeight="1" x14ac:dyDescent="0.2">
      <c r="A114" s="113"/>
      <c r="B114" s="516" t="s">
        <v>4</v>
      </c>
      <c r="C114" s="516"/>
      <c r="D114" s="516"/>
      <c r="E114" s="516"/>
      <c r="F114" s="516"/>
      <c r="G114" s="516"/>
      <c r="H114" s="148"/>
      <c r="I114" s="144"/>
      <c r="J114" s="144"/>
      <c r="K114" s="144"/>
      <c r="L114" s="144"/>
      <c r="M114" s="144"/>
      <c r="N114" s="144"/>
      <c r="O114" s="144"/>
      <c r="P114" s="144"/>
      <c r="Q114" s="144"/>
      <c r="R114" s="144"/>
      <c r="S114" s="144"/>
      <c r="T114" s="144"/>
      <c r="U114" s="144"/>
      <c r="V114" s="144"/>
      <c r="W114" s="144"/>
      <c r="X114" s="144"/>
      <c r="Y114" s="144"/>
      <c r="Z114" s="144"/>
      <c r="AA114" s="144"/>
    </row>
    <row r="115" spans="1:27" ht="24.95" customHeight="1" x14ac:dyDescent="0.2">
      <c r="A115" s="113"/>
      <c r="B115" s="113"/>
      <c r="C115" s="168"/>
      <c r="D115" s="113"/>
      <c r="E115" s="113"/>
      <c r="F115" s="113"/>
      <c r="G115" s="114"/>
      <c r="H115" s="148"/>
      <c r="I115" s="144"/>
      <c r="J115" s="144"/>
      <c r="K115" s="144"/>
      <c r="L115" s="144"/>
      <c r="M115" s="144"/>
      <c r="N115" s="144"/>
      <c r="O115" s="144"/>
      <c r="P115" s="144"/>
      <c r="Q115" s="144"/>
      <c r="R115" s="144"/>
      <c r="S115" s="144"/>
      <c r="T115" s="144"/>
      <c r="U115" s="144"/>
      <c r="V115" s="144"/>
      <c r="W115" s="144"/>
      <c r="X115" s="144"/>
      <c r="Y115" s="144"/>
      <c r="Z115" s="144"/>
      <c r="AA115" s="144"/>
    </row>
    <row r="116" spans="1:27" ht="24.95" customHeight="1" x14ac:dyDescent="0.2">
      <c r="A116" s="113"/>
      <c r="B116" s="113"/>
      <c r="C116" s="168"/>
      <c r="E116" s="113"/>
      <c r="F116" s="538" t="s">
        <v>386</v>
      </c>
      <c r="G116" s="538" t="s">
        <v>958</v>
      </c>
      <c r="H116" s="148"/>
      <c r="I116" s="144"/>
      <c r="J116" s="144"/>
      <c r="K116" s="144"/>
      <c r="L116" s="144"/>
      <c r="M116" s="144"/>
      <c r="N116" s="144"/>
      <c r="O116" s="144"/>
      <c r="P116" s="144"/>
      <c r="Q116" s="144"/>
      <c r="R116" s="144"/>
      <c r="S116" s="144"/>
      <c r="T116" s="144"/>
      <c r="U116" s="144"/>
      <c r="V116" s="144"/>
      <c r="W116" s="144"/>
      <c r="X116" s="144"/>
      <c r="Y116" s="144"/>
      <c r="Z116" s="144"/>
      <c r="AA116" s="144"/>
    </row>
    <row r="117" spans="1:27" ht="15" customHeight="1" x14ac:dyDescent="0.2">
      <c r="A117" s="113"/>
      <c r="B117" s="541"/>
      <c r="C117" s="542"/>
      <c r="D117" s="542"/>
      <c r="E117" s="543" t="s">
        <v>955</v>
      </c>
      <c r="F117" s="211" t="str">
        <f>IF(ISERROR(R60),Q137,R60)</f>
        <v>Requires building information</v>
      </c>
      <c r="G117" s="211" t="str">
        <f>IF(ISERROR((F117/1000)*$F$13),Q137,(F117/1000)*$F$13)</f>
        <v>Requires building information</v>
      </c>
      <c r="H117" s="148"/>
      <c r="I117" s="144"/>
      <c r="J117" s="144"/>
      <c r="K117" s="144"/>
      <c r="L117" s="144"/>
      <c r="M117" s="144"/>
      <c r="N117" s="144"/>
      <c r="O117" s="144"/>
      <c r="P117" s="144"/>
      <c r="Q117" s="144"/>
      <c r="R117" s="144"/>
      <c r="S117" s="144"/>
      <c r="T117" s="144"/>
      <c r="U117" s="144"/>
      <c r="V117" s="144"/>
      <c r="W117" s="144"/>
      <c r="X117" s="144"/>
      <c r="Y117" s="144"/>
      <c r="Z117" s="144"/>
      <c r="AA117" s="144"/>
    </row>
    <row r="118" spans="1:27" x14ac:dyDescent="0.2">
      <c r="A118" s="113"/>
      <c r="B118" s="117"/>
      <c r="C118" s="117"/>
      <c r="D118" s="113"/>
      <c r="E118" s="168"/>
      <c r="F118" s="170"/>
      <c r="G118" s="114"/>
      <c r="H118" s="148"/>
      <c r="I118" s="144"/>
      <c r="J118" s="144"/>
      <c r="K118" s="144"/>
      <c r="L118" s="144"/>
      <c r="M118" s="144"/>
      <c r="N118" s="144"/>
      <c r="O118" s="144"/>
      <c r="P118" s="144"/>
      <c r="Q118" s="144"/>
      <c r="R118" s="144"/>
      <c r="S118" s="144"/>
      <c r="T118" s="144"/>
      <c r="U118" s="144"/>
      <c r="V118" s="144"/>
      <c r="W118" s="144"/>
      <c r="X118" s="144"/>
      <c r="Y118" s="144"/>
      <c r="Z118" s="144"/>
      <c r="AA118" s="144"/>
    </row>
    <row r="119" spans="1:27" ht="15" customHeight="1" x14ac:dyDescent="0.2">
      <c r="A119" s="113"/>
      <c r="B119" s="544"/>
      <c r="C119" s="545"/>
      <c r="D119" s="542"/>
      <c r="E119" s="543" t="s">
        <v>956</v>
      </c>
      <c r="F119" s="211" t="str">
        <f>IF(ISERROR(G60-R63),Q137,G60-R63)</f>
        <v>Requires building information</v>
      </c>
      <c r="G119" s="211" t="str">
        <f>IF(ISERROR((F119/1000)*$F$13),Q137,(F119/1000)*$F$13)</f>
        <v>Requires building information</v>
      </c>
      <c r="H119" s="148"/>
      <c r="I119" s="144"/>
      <c r="J119" s="144"/>
      <c r="K119" s="144"/>
      <c r="L119" s="144"/>
      <c r="M119" s="144"/>
      <c r="N119" s="144"/>
      <c r="O119" s="144"/>
      <c r="P119" s="144"/>
      <c r="Q119" s="144"/>
      <c r="R119" s="144"/>
      <c r="S119" s="144"/>
      <c r="T119" s="144"/>
      <c r="U119" s="144"/>
      <c r="V119" s="144"/>
      <c r="W119" s="144"/>
      <c r="X119" s="144"/>
      <c r="Y119" s="144"/>
      <c r="Z119" s="144"/>
      <c r="AA119" s="144"/>
    </row>
    <row r="120" spans="1:27" x14ac:dyDescent="0.2">
      <c r="A120" s="113"/>
      <c r="B120" s="117"/>
      <c r="C120" s="117"/>
      <c r="D120" s="113"/>
      <c r="E120" s="168"/>
      <c r="F120" s="170"/>
      <c r="G120" s="170"/>
      <c r="H120" s="148"/>
      <c r="I120" s="144"/>
      <c r="J120" s="144"/>
      <c r="K120" s="144"/>
      <c r="L120" s="144"/>
      <c r="M120" s="144"/>
      <c r="N120" s="144"/>
      <c r="O120" s="144"/>
      <c r="P120" s="144"/>
      <c r="Q120" s="144"/>
      <c r="R120" s="144"/>
      <c r="S120" s="144"/>
      <c r="T120" s="144"/>
      <c r="U120" s="144"/>
      <c r="V120" s="144"/>
      <c r="W120" s="144"/>
      <c r="X120" s="144"/>
      <c r="Y120" s="144"/>
      <c r="Z120" s="144"/>
      <c r="AA120" s="144"/>
    </row>
    <row r="121" spans="1:27" ht="15" customHeight="1" x14ac:dyDescent="0.2">
      <c r="A121" s="113"/>
      <c r="B121" s="544"/>
      <c r="C121" s="545"/>
      <c r="D121" s="542"/>
      <c r="E121" s="543" t="s">
        <v>661</v>
      </c>
      <c r="F121" s="211" t="str">
        <f>IF(ISERROR(G112),Q137,G112)</f>
        <v>Requires building information</v>
      </c>
      <c r="G121" s="211" t="str">
        <f>IF(ISERROR((F121/1000)*$F$13),Q137,(F121/1000)*$F$13)</f>
        <v>Requires building information</v>
      </c>
      <c r="H121" s="163"/>
      <c r="I121" s="171"/>
      <c r="J121" s="171"/>
      <c r="K121" s="171"/>
      <c r="L121" s="171"/>
      <c r="M121" s="144"/>
      <c r="N121" s="174" t="s">
        <v>648</v>
      </c>
      <c r="O121" s="172"/>
      <c r="P121" s="144"/>
      <c r="Q121" s="144"/>
      <c r="R121" s="571" t="s">
        <v>962</v>
      </c>
      <c r="S121" s="144"/>
      <c r="T121" s="144"/>
      <c r="U121" s="144"/>
      <c r="V121" s="144"/>
      <c r="W121" s="144"/>
      <c r="X121" s="144"/>
      <c r="Y121" s="144"/>
      <c r="Z121" s="144"/>
      <c r="AA121" s="144"/>
    </row>
    <row r="122" spans="1:27" x14ac:dyDescent="0.2">
      <c r="A122" s="113"/>
      <c r="B122" s="117"/>
      <c r="C122" s="117"/>
      <c r="D122" s="113"/>
      <c r="E122" s="168"/>
      <c r="F122" s="170"/>
      <c r="G122" s="170"/>
      <c r="H122" s="163"/>
      <c r="I122" s="144"/>
      <c r="J122" s="144"/>
      <c r="K122" s="144"/>
      <c r="L122" s="144"/>
      <c r="M122" s="144"/>
      <c r="N122" s="175" t="e">
        <f>1-(F119-F121)/F117</f>
        <v>#VALUE!</v>
      </c>
      <c r="O122" s="172" t="s">
        <v>646</v>
      </c>
      <c r="P122" s="144"/>
      <c r="Q122" s="144"/>
      <c r="R122" s="572" t="s">
        <v>654</v>
      </c>
      <c r="S122" s="144"/>
      <c r="T122" s="144"/>
      <c r="U122" s="144"/>
      <c r="V122" s="144"/>
      <c r="W122" s="144"/>
      <c r="X122" s="144"/>
      <c r="Y122" s="144"/>
      <c r="Z122" s="144"/>
      <c r="AA122" s="144"/>
    </row>
    <row r="123" spans="1:27" ht="15" customHeight="1" x14ac:dyDescent="0.2">
      <c r="A123" s="113"/>
      <c r="B123" s="541"/>
      <c r="C123" s="542"/>
      <c r="D123" s="542"/>
      <c r="E123" s="543" t="s">
        <v>649</v>
      </c>
      <c r="F123" s="211" t="str">
        <f>IF(ISERROR(IF(AND((OR(G83=Q132,G83=Q131)),((OR(G64=Q132,G64=Q131)))),Q132,IF(OR(N124="1 credit",N124="2 credits",N124="3 credits"),Q135,IF(OR(N124="4 credits",N124="5 credits"),(IF((1-(F119/F117))&lt;0.25,"No","Yes")))))),Q137,IF(AND((OR(G83=Q132,G83=Q131)),((OR(G64=Q132,G64=Q131)))),Q132,IF(OR(N124="1 credit",N124="2 credits",N124="3 credits"),Q135,IF(OR(N124="4 credits",N124="5 credits"),(IF((1-(F119/F117))&lt;0.25,"No","Yes"))))))</f>
        <v>Requires building information</v>
      </c>
      <c r="G123" s="170"/>
      <c r="H123" s="163"/>
      <c r="I123" s="173"/>
      <c r="J123" s="173"/>
      <c r="K123" s="173"/>
      <c r="L123" s="173"/>
      <c r="M123" s="117"/>
      <c r="N123" s="176"/>
      <c r="O123" s="172"/>
      <c r="P123" s="144"/>
      <c r="Q123" s="144"/>
      <c r="R123" s="572" t="s">
        <v>963</v>
      </c>
      <c r="S123" s="144"/>
      <c r="T123" s="144"/>
      <c r="U123" s="144"/>
      <c r="V123" s="144"/>
      <c r="W123" s="144"/>
      <c r="X123" s="144"/>
      <c r="Y123" s="144"/>
      <c r="Z123" s="144"/>
      <c r="AA123" s="144"/>
    </row>
    <row r="124" spans="1:27" ht="24.95" customHeight="1" x14ac:dyDescent="0.2">
      <c r="A124" s="113"/>
      <c r="B124" s="117"/>
      <c r="C124" s="117"/>
      <c r="D124" s="113"/>
      <c r="E124" s="168"/>
      <c r="F124" s="170"/>
      <c r="G124" s="170"/>
      <c r="H124" s="163"/>
      <c r="I124" s="144"/>
      <c r="J124" s="144"/>
      <c r="K124" s="144"/>
      <c r="L124" s="144"/>
      <c r="M124" s="117"/>
      <c r="N124" s="175" t="e">
        <f>VLOOKUP(N122,CreditsInd,2,TRUE)</f>
        <v>#VALUE!</v>
      </c>
      <c r="O124" s="172" t="s">
        <v>647</v>
      </c>
      <c r="P124" s="144"/>
      <c r="Q124" s="144"/>
      <c r="R124" s="572" t="s">
        <v>964</v>
      </c>
      <c r="S124" s="144"/>
      <c r="T124" s="144"/>
      <c r="U124" s="144"/>
      <c r="V124" s="144"/>
      <c r="W124" s="144"/>
      <c r="X124" s="144"/>
      <c r="Y124" s="144"/>
      <c r="Z124" s="144"/>
      <c r="AA124" s="144"/>
    </row>
    <row r="125" spans="1:27" ht="15" customHeight="1" x14ac:dyDescent="0.2">
      <c r="A125" s="113"/>
      <c r="B125" s="544"/>
      <c r="C125" s="545"/>
      <c r="D125" s="542"/>
      <c r="E125" s="543" t="s">
        <v>957</v>
      </c>
      <c r="F125" s="211" t="str">
        <f>IF(ISERROR(IF(OR(F123="Yes",F123=Q132),F119-F121,(F119-((1-(F119/F117))*F121)))),Q137,IF(OR(F123="Yes",F123=Q132),F119-F121,(F119-((1-(F119/F117))*F121))))</f>
        <v>Requires building information</v>
      </c>
      <c r="G125" s="211" t="str">
        <f>IF(ISERROR((F125/1000)*$F$13),Q137,((F125/1000)*$F$13))</f>
        <v>Requires building information</v>
      </c>
      <c r="H125" s="163"/>
      <c r="I125" s="156"/>
      <c r="J125" s="156"/>
      <c r="K125" s="156"/>
      <c r="L125" s="156"/>
      <c r="M125" s="117"/>
      <c r="N125" s="172"/>
      <c r="O125" s="144"/>
      <c r="P125" s="144"/>
      <c r="Q125" s="144"/>
      <c r="R125" s="572" t="s">
        <v>965</v>
      </c>
      <c r="S125" s="144"/>
      <c r="T125" s="144"/>
      <c r="U125" s="144"/>
      <c r="V125" s="144"/>
      <c r="W125" s="144"/>
      <c r="X125" s="144"/>
      <c r="Y125" s="144"/>
      <c r="Z125" s="144"/>
      <c r="AA125" s="144"/>
    </row>
    <row r="126" spans="1:27" x14ac:dyDescent="0.2">
      <c r="A126" s="113"/>
      <c r="B126" s="117"/>
      <c r="C126" s="117"/>
      <c r="D126" s="113"/>
      <c r="E126" s="168"/>
      <c r="F126" s="170"/>
      <c r="G126" s="170"/>
      <c r="H126" s="163"/>
      <c r="I126" s="144"/>
      <c r="J126" s="144"/>
      <c r="K126" s="144"/>
      <c r="L126" s="144"/>
      <c r="M126" s="117"/>
      <c r="N126" s="159"/>
      <c r="O126" s="144"/>
      <c r="P126" s="144"/>
      <c r="Q126" s="144"/>
      <c r="R126" s="144"/>
      <c r="S126" s="144"/>
      <c r="T126" s="144"/>
      <c r="U126" s="144"/>
      <c r="V126" s="144"/>
      <c r="W126" s="144"/>
      <c r="X126" s="144"/>
      <c r="Y126" s="144"/>
      <c r="Z126" s="144"/>
      <c r="AA126" s="144"/>
    </row>
    <row r="127" spans="1:27" ht="15" customHeight="1" x14ac:dyDescent="0.2">
      <c r="A127" s="113"/>
      <c r="B127" s="544"/>
      <c r="C127" s="545"/>
      <c r="D127" s="542"/>
      <c r="E127" s="543" t="s">
        <v>156</v>
      </c>
      <c r="F127" s="212" t="str">
        <f>IF(OR(F117=Q137,F119=Q137,F121=Q137,F123=Q137),Q137,IF(OR(F123="yes",F123=Q135,F123=Q132),N122,(IF(F123="No",1-((F119-(F121*(1-(F119/F117))))/F117)))))</f>
        <v>Requires building information</v>
      </c>
      <c r="G127" s="114"/>
      <c r="H127" s="163"/>
      <c r="I127" s="148"/>
      <c r="J127" s="148"/>
      <c r="K127" s="148"/>
      <c r="L127" s="148"/>
      <c r="N127" s="172"/>
      <c r="O127" s="144"/>
      <c r="P127" s="144"/>
      <c r="Q127" s="144"/>
      <c r="R127" s="144"/>
      <c r="S127" s="144"/>
      <c r="T127" s="144"/>
      <c r="U127" s="144"/>
      <c r="V127" s="144"/>
      <c r="W127" s="144"/>
      <c r="X127" s="144"/>
      <c r="Y127" s="144"/>
      <c r="Z127" s="144"/>
      <c r="AA127" s="144"/>
    </row>
    <row r="128" spans="1:27" x14ac:dyDescent="0.2">
      <c r="A128" s="113"/>
      <c r="B128" s="117"/>
      <c r="C128" s="117"/>
      <c r="D128" s="113"/>
      <c r="E128" s="140"/>
      <c r="F128" s="177"/>
      <c r="G128" s="114"/>
      <c r="H128" s="163"/>
      <c r="I128" s="144"/>
      <c r="J128" s="144"/>
      <c r="K128" s="144"/>
      <c r="L128" s="144"/>
      <c r="M128" s="178"/>
      <c r="N128" s="172"/>
      <c r="O128" s="144"/>
      <c r="P128" s="144"/>
      <c r="Q128" s="144"/>
      <c r="R128" s="144"/>
      <c r="S128" s="144"/>
      <c r="T128" s="144"/>
      <c r="U128" s="144"/>
      <c r="V128" s="144"/>
      <c r="W128" s="144"/>
      <c r="X128" s="144"/>
      <c r="Y128" s="144"/>
      <c r="Z128" s="144"/>
      <c r="AA128" s="144"/>
    </row>
    <row r="129" spans="1:27" ht="15" customHeight="1" x14ac:dyDescent="0.2">
      <c r="A129" s="113"/>
      <c r="B129" s="544"/>
      <c r="C129" s="545"/>
      <c r="D129" s="542"/>
      <c r="E129" s="543" t="s">
        <v>721</v>
      </c>
      <c r="F129" s="213" t="str">
        <f>IF(ISERROR(VLOOKUP(F127,CreditsInd,2,TRUE)),Q137,VLOOKUP(F127,CreditsRet,2,TRUE))</f>
        <v>Requires building information</v>
      </c>
      <c r="G129" s="114"/>
      <c r="H129" s="163"/>
      <c r="I129" s="159"/>
      <c r="J129" s="159"/>
      <c r="K129" s="159"/>
      <c r="L129" s="159"/>
      <c r="M129" s="159"/>
      <c r="N129" s="144"/>
      <c r="O129" s="144"/>
      <c r="P129" s="144" t="s">
        <v>654</v>
      </c>
      <c r="Q129" s="144" t="s">
        <v>654</v>
      </c>
      <c r="R129" s="144" t="s">
        <v>654</v>
      </c>
      <c r="S129" s="144" t="s">
        <v>654</v>
      </c>
      <c r="T129" s="179">
        <v>0</v>
      </c>
      <c r="U129" s="144"/>
      <c r="V129" s="144"/>
      <c r="W129" s="144"/>
      <c r="X129" s="144"/>
      <c r="Y129" s="144"/>
      <c r="Z129" s="144"/>
      <c r="AA129" s="144"/>
    </row>
    <row r="130" spans="1:27" ht="15" customHeight="1" x14ac:dyDescent="0.2">
      <c r="A130" s="113"/>
      <c r="B130" s="117"/>
      <c r="C130" s="117"/>
      <c r="D130" s="113"/>
      <c r="E130" s="140"/>
      <c r="F130" s="118"/>
      <c r="G130" s="114"/>
      <c r="H130" s="163"/>
      <c r="I130" s="144"/>
      <c r="J130" s="144"/>
      <c r="K130" s="144"/>
      <c r="L130" s="144"/>
      <c r="M130" s="179"/>
      <c r="N130" s="146"/>
      <c r="O130" s="165" t="s">
        <v>390</v>
      </c>
      <c r="P130" s="144" t="s">
        <v>515</v>
      </c>
      <c r="Q130" s="144" t="s">
        <v>522</v>
      </c>
      <c r="R130" s="181" t="str">
        <f>'Activity database'!I3</f>
        <v>WC - male (urinals installed)</v>
      </c>
      <c r="S130" s="182" t="s">
        <v>402</v>
      </c>
      <c r="T130" s="179">
        <v>0.01</v>
      </c>
      <c r="U130" s="144"/>
      <c r="V130" s="144"/>
      <c r="W130" s="144"/>
      <c r="X130" s="144"/>
      <c r="Y130" s="144"/>
      <c r="Z130" s="144"/>
      <c r="AA130" s="144"/>
    </row>
    <row r="131" spans="1:27" ht="15" customHeight="1" x14ac:dyDescent="0.2">
      <c r="A131" s="113"/>
      <c r="B131" s="544"/>
      <c r="C131" s="545"/>
      <c r="D131" s="542"/>
      <c r="E131" s="543" t="s">
        <v>722</v>
      </c>
      <c r="F131" s="213" t="str">
        <f>IF(F127=Q137,Q137,IF(F127&gt;=ExempInd,"1 innovation credit achieved","Exemplary level not achieved"))</f>
        <v>Requires building information</v>
      </c>
      <c r="G131" s="114"/>
      <c r="H131" s="180"/>
      <c r="I131" s="159"/>
      <c r="J131" s="159"/>
      <c r="K131" s="159"/>
      <c r="L131" s="159"/>
      <c r="M131" s="179"/>
      <c r="N131" s="160" t="str">
        <f t="shared" ref="N131:N136" si="5">B16</f>
        <v>Industrial - Process area</v>
      </c>
      <c r="O131" s="162">
        <f>IF(F16="Yes",VLOOKUP(B16,'Activity database'!A:BO,3,FALSE)*G16,0)</f>
        <v>0</v>
      </c>
      <c r="P131" s="144" t="s">
        <v>516</v>
      </c>
      <c r="Q131" s="144" t="s">
        <v>523</v>
      </c>
      <c r="R131" s="181" t="str">
        <f>'Activity database'!J3</f>
        <v>WC - male (no urinals installed)</v>
      </c>
      <c r="S131" s="182" t="s">
        <v>530</v>
      </c>
      <c r="T131" s="179">
        <v>0.02</v>
      </c>
      <c r="U131" s="144"/>
      <c r="V131" s="144"/>
      <c r="W131" s="144"/>
      <c r="X131" s="144"/>
      <c r="Y131" s="144"/>
      <c r="Z131" s="144"/>
      <c r="AA131" s="144"/>
    </row>
    <row r="132" spans="1:27" ht="15" customHeight="1" x14ac:dyDescent="0.2">
      <c r="A132" s="113"/>
      <c r="B132" s="113"/>
      <c r="C132" s="113"/>
      <c r="D132" s="113"/>
      <c r="E132" s="113"/>
      <c r="F132" s="113"/>
      <c r="G132" s="114"/>
      <c r="H132" s="163"/>
      <c r="I132" s="144"/>
      <c r="J132" s="144"/>
      <c r="K132" s="144"/>
      <c r="L132" s="144"/>
      <c r="M132" s="144"/>
      <c r="N132" s="160" t="str">
        <f t="shared" si="5"/>
        <v>Industrial - Laboratory area</v>
      </c>
      <c r="O132" s="162">
        <f>IF(F17="Yes",VLOOKUP(B17,'Activity database'!A:BO,3,FALSE)*G17,0)</f>
        <v>0</v>
      </c>
      <c r="P132" s="144"/>
      <c r="Q132" s="144" t="s">
        <v>650</v>
      </c>
      <c r="R132" s="144"/>
      <c r="S132" s="144"/>
      <c r="T132" s="179">
        <v>0.03</v>
      </c>
      <c r="U132" s="144"/>
      <c r="V132" s="144"/>
      <c r="W132" s="144"/>
      <c r="X132" s="144"/>
      <c r="Y132" s="144"/>
      <c r="Z132" s="144"/>
      <c r="AA132" s="144"/>
    </row>
    <row r="133" spans="1:27" ht="15" customHeight="1" x14ac:dyDescent="0.2">
      <c r="A133" s="113"/>
      <c r="B133" s="544"/>
      <c r="C133" s="545"/>
      <c r="D133" s="542"/>
      <c r="E133" s="543" t="s">
        <v>954</v>
      </c>
      <c r="F133" s="211" t="str">
        <f>IF(ISERROR(F119+R63-F121),Q137,F119+R63-F121)</f>
        <v>Requires building information</v>
      </c>
      <c r="G133" s="211" t="str">
        <f>IF(ISERROR((F133/1000)*$F$13),Q137,(F133/1000)*$F$13)</f>
        <v>Requires building information</v>
      </c>
      <c r="H133" s="163"/>
      <c r="I133" s="144"/>
      <c r="J133" s="144"/>
      <c r="K133" s="144"/>
      <c r="L133" s="144"/>
      <c r="M133" s="156"/>
      <c r="N133" s="160" t="str">
        <f t="shared" si="5"/>
        <v>Industrial - Warehouse storage</v>
      </c>
      <c r="O133" s="162">
        <f>IF(F18="Yes",VLOOKUP(B18,'Activity database'!A:BO,3,FALSE)*G18,0)</f>
        <v>0</v>
      </c>
      <c r="P133" s="144"/>
      <c r="Q133" s="144"/>
      <c r="R133" s="189"/>
      <c r="S133" s="144"/>
      <c r="T133" s="179">
        <v>0.04</v>
      </c>
      <c r="U133" s="144"/>
      <c r="V133" s="144"/>
      <c r="W133" s="144"/>
      <c r="X133" s="144"/>
      <c r="Y133" s="144"/>
      <c r="Z133" s="144"/>
      <c r="AA133" s="144"/>
    </row>
    <row r="134" spans="1:27" x14ac:dyDescent="0.2">
      <c r="A134" s="113"/>
      <c r="B134" s="113"/>
      <c r="C134" s="113"/>
      <c r="D134" s="183"/>
      <c r="E134" s="184"/>
      <c r="F134" s="113"/>
      <c r="G134" s="114"/>
      <c r="H134" s="163"/>
      <c r="I134" s="144"/>
      <c r="J134" s="144"/>
      <c r="K134" s="144"/>
      <c r="L134" s="144"/>
      <c r="M134" s="156"/>
      <c r="N134" s="160" t="str">
        <f t="shared" si="5"/>
        <v>Industrial - Office areas</v>
      </c>
      <c r="O134" s="162">
        <f>IF(F19="Yes",VLOOKUP(B19,'Activity database'!A:BO,3,FALSE)*G19,0)</f>
        <v>0</v>
      </c>
      <c r="P134" s="144"/>
      <c r="Q134" s="144"/>
      <c r="R134" s="144" t="s">
        <v>654</v>
      </c>
      <c r="S134" s="144"/>
      <c r="T134" s="179">
        <v>0.05</v>
      </c>
      <c r="U134" s="144"/>
      <c r="V134" s="144"/>
      <c r="W134" s="144"/>
      <c r="X134" s="144"/>
      <c r="Y134" s="144"/>
      <c r="Z134" s="144"/>
      <c r="AA134" s="144"/>
    </row>
    <row r="135" spans="1:27" x14ac:dyDescent="0.2">
      <c r="A135" s="113"/>
      <c r="B135" s="117"/>
      <c r="C135" s="117"/>
      <c r="D135" s="185"/>
      <c r="E135" s="186"/>
      <c r="F135" s="117"/>
      <c r="G135" s="187"/>
      <c r="H135" s="146"/>
      <c r="I135" s="144"/>
      <c r="J135" s="144"/>
      <c r="K135" s="144"/>
      <c r="L135" s="144"/>
      <c r="M135" s="188"/>
      <c r="N135" s="160" t="str">
        <f t="shared" si="5"/>
        <v>Industrial - Staff canteen dining area</v>
      </c>
      <c r="O135" s="162">
        <f>IF(F20="Yes",VLOOKUP(B20,'Activity database'!A:BO,3,FALSE)*G20,0)</f>
        <v>0</v>
      </c>
      <c r="P135" s="190"/>
      <c r="Q135" s="144" t="s">
        <v>651</v>
      </c>
      <c r="R135" s="189" t="str">
        <f>'Activity database'!A9</f>
        <v>Industrial - 24hr x 7 day operation</v>
      </c>
      <c r="S135" s="144"/>
      <c r="T135" s="179">
        <v>0.06</v>
      </c>
      <c r="U135" s="144"/>
      <c r="V135" s="144"/>
      <c r="W135" s="144"/>
      <c r="X135" s="144"/>
      <c r="Y135" s="144"/>
      <c r="Z135" s="144"/>
      <c r="AA135" s="144"/>
    </row>
    <row r="136" spans="1:27" x14ac:dyDescent="0.2">
      <c r="A136" s="113"/>
      <c r="B136" s="117"/>
      <c r="C136" s="117"/>
      <c r="D136" s="185"/>
      <c r="E136" s="186"/>
      <c r="F136" s="117"/>
      <c r="G136" s="187"/>
      <c r="H136" s="146"/>
      <c r="I136" s="144"/>
      <c r="J136" s="144"/>
      <c r="K136" s="144"/>
      <c r="L136" s="144"/>
      <c r="M136" s="144"/>
      <c r="N136" s="160" t="str">
        <f t="shared" si="5"/>
        <v>Industrial - Fitness suite/gym (with changing facility and showers)</v>
      </c>
      <c r="O136" s="162">
        <f>IF(F21="Yes",VLOOKUP(B21,'Activity database'!A:BO,3,FALSE)*G21,0)</f>
        <v>0</v>
      </c>
      <c r="P136" s="144"/>
      <c r="Q136" s="144"/>
      <c r="R136" s="144" t="str">
        <f>'Activity database'!A10</f>
        <v>Industrial - typical business hours of operation</v>
      </c>
      <c r="S136" s="144"/>
      <c r="T136" s="179">
        <v>7.0000000000000007E-2</v>
      </c>
      <c r="U136" s="144"/>
      <c r="V136" s="144"/>
      <c r="W136" s="144"/>
      <c r="X136" s="144"/>
      <c r="Y136" s="171"/>
      <c r="Z136" s="144"/>
      <c r="AA136" s="144"/>
    </row>
    <row r="137" spans="1:27" x14ac:dyDescent="0.2">
      <c r="A137" s="113"/>
      <c r="B137" s="117"/>
      <c r="C137" s="117"/>
      <c r="D137" s="185"/>
      <c r="E137" s="186"/>
      <c r="F137" s="117"/>
      <c r="G137" s="187"/>
      <c r="I137" s="144"/>
      <c r="J137" s="144"/>
      <c r="K137" s="144"/>
      <c r="L137" s="144"/>
      <c r="M137" s="144"/>
      <c r="N137" s="160" t="s">
        <v>617</v>
      </c>
      <c r="O137" s="162" t="str">
        <f>IF(Ind_act=R135,SUM(O131:O136)*G14,IF(Ind_act=R136,SUM(O131:O136),IF(Ind_act=R134,Q137)))</f>
        <v>Requires building information</v>
      </c>
      <c r="P137" s="190"/>
      <c r="Q137" s="144" t="s">
        <v>844</v>
      </c>
      <c r="R137" s="189"/>
      <c r="S137" s="144"/>
      <c r="T137" s="179">
        <v>0.08</v>
      </c>
      <c r="U137" s="144"/>
      <c r="V137" s="144"/>
      <c r="W137" s="144"/>
      <c r="X137" s="144"/>
      <c r="Y137" s="144"/>
      <c r="Z137" s="144"/>
      <c r="AA137" s="144"/>
    </row>
    <row r="138" spans="1:27" x14ac:dyDescent="0.2">
      <c r="A138" s="113"/>
      <c r="B138" s="117"/>
      <c r="C138" s="117"/>
      <c r="D138" s="185"/>
      <c r="E138" s="186"/>
      <c r="F138" s="117"/>
      <c r="G138" s="187"/>
      <c r="I138" s="144"/>
      <c r="J138" s="144"/>
      <c r="K138" s="144"/>
      <c r="L138" s="144"/>
      <c r="M138" s="144"/>
      <c r="N138" s="144"/>
      <c r="O138" s="144"/>
      <c r="P138" s="190"/>
      <c r="Q138" s="144"/>
      <c r="R138" s="189"/>
      <c r="S138" s="144"/>
      <c r="T138" s="179">
        <v>0.09</v>
      </c>
      <c r="U138" s="144"/>
      <c r="V138" s="144"/>
      <c r="W138" s="144"/>
      <c r="X138" s="144"/>
      <c r="Y138" s="144"/>
      <c r="Z138" s="144"/>
      <c r="AA138" s="144"/>
    </row>
    <row r="139" spans="1:27" x14ac:dyDescent="0.2">
      <c r="A139" s="113"/>
      <c r="B139" s="117"/>
      <c r="C139" s="117"/>
      <c r="D139" s="185"/>
      <c r="E139" s="186"/>
      <c r="F139" s="117"/>
      <c r="G139" s="187"/>
      <c r="I139" s="144"/>
      <c r="J139" s="144"/>
      <c r="K139" s="144"/>
      <c r="L139" s="144"/>
      <c r="M139" s="144"/>
      <c r="N139" s="144"/>
      <c r="O139" s="144"/>
      <c r="P139" s="144"/>
      <c r="Q139" s="144"/>
      <c r="R139" s="144" t="s">
        <v>654</v>
      </c>
      <c r="S139" s="144"/>
      <c r="T139" s="179">
        <v>0.1</v>
      </c>
      <c r="U139" s="144"/>
      <c r="V139" s="144"/>
      <c r="W139" s="144"/>
      <c r="X139" s="144"/>
      <c r="Y139" s="144"/>
      <c r="Z139" s="144"/>
      <c r="AA139" s="144"/>
    </row>
    <row r="140" spans="1:27" x14ac:dyDescent="0.2">
      <c r="A140" s="113"/>
      <c r="B140" s="117"/>
      <c r="C140" s="117"/>
      <c r="D140" s="185"/>
      <c r="E140" s="186"/>
      <c r="F140" s="117"/>
      <c r="G140" s="187"/>
      <c r="I140" s="144"/>
      <c r="J140" s="144"/>
      <c r="K140" s="144"/>
      <c r="L140" s="144"/>
      <c r="M140" s="144"/>
      <c r="N140" s="155"/>
      <c r="O140" s="144"/>
      <c r="P140" s="144"/>
      <c r="Q140" s="144"/>
      <c r="R140" s="164">
        <v>1</v>
      </c>
      <c r="S140" s="144"/>
      <c r="T140" s="179">
        <v>0.11</v>
      </c>
      <c r="U140" s="144"/>
      <c r="V140" s="144"/>
      <c r="W140" s="144"/>
      <c r="X140" s="144"/>
      <c r="Y140" s="144"/>
      <c r="Z140" s="144"/>
      <c r="AA140" s="144"/>
    </row>
    <row r="141" spans="1:27" x14ac:dyDescent="0.2">
      <c r="A141" s="113"/>
      <c r="B141" s="117"/>
      <c r="C141" s="117"/>
      <c r="D141" s="191"/>
      <c r="E141" s="186"/>
      <c r="F141" s="117"/>
      <c r="G141" s="187"/>
      <c r="I141" s="144"/>
      <c r="J141" s="144"/>
      <c r="K141" s="144"/>
      <c r="L141" s="144"/>
      <c r="M141" s="144"/>
      <c r="N141" s="144"/>
      <c r="O141" s="144"/>
      <c r="P141" s="194"/>
      <c r="Q141" s="144"/>
      <c r="R141" s="164">
        <v>2</v>
      </c>
      <c r="S141" s="144"/>
      <c r="T141" s="179">
        <v>0.12</v>
      </c>
      <c r="U141" s="144"/>
      <c r="V141" s="144"/>
      <c r="W141" s="144"/>
      <c r="X141" s="144"/>
      <c r="Y141" s="144"/>
      <c r="Z141" s="144"/>
      <c r="AA141" s="144"/>
    </row>
    <row r="142" spans="1:27" x14ac:dyDescent="0.2">
      <c r="A142" s="113"/>
      <c r="B142" s="117"/>
      <c r="C142" s="117"/>
      <c r="D142" s="191"/>
      <c r="E142" s="191"/>
      <c r="F142" s="117"/>
      <c r="G142" s="187"/>
      <c r="I142" s="144"/>
      <c r="J142" s="144"/>
      <c r="K142" s="144"/>
      <c r="L142" s="144"/>
      <c r="M142" s="144"/>
      <c r="N142" s="144"/>
      <c r="O142" s="194"/>
      <c r="P142" s="194"/>
      <c r="Q142" s="144"/>
      <c r="R142" s="164">
        <v>3</v>
      </c>
      <c r="S142" s="144"/>
      <c r="T142" s="179">
        <v>0.13</v>
      </c>
      <c r="U142" s="144"/>
      <c r="V142" s="144"/>
      <c r="W142" s="144"/>
      <c r="X142" s="144"/>
      <c r="Y142" s="144"/>
      <c r="Z142" s="144"/>
      <c r="AA142" s="144"/>
    </row>
    <row r="143" spans="1:27" x14ac:dyDescent="0.2">
      <c r="A143" s="113"/>
      <c r="B143" s="117"/>
      <c r="C143" s="117"/>
      <c r="D143" s="192"/>
      <c r="E143" s="192"/>
      <c r="F143" s="192"/>
      <c r="G143" s="192"/>
      <c r="I143" s="144"/>
      <c r="J143" s="144"/>
      <c r="K143" s="144"/>
      <c r="L143" s="144"/>
      <c r="M143" s="144"/>
      <c r="N143" s="148"/>
      <c r="O143" s="194"/>
      <c r="P143" s="194"/>
      <c r="Q143" s="144"/>
      <c r="R143" s="164">
        <v>4</v>
      </c>
      <c r="S143" s="144"/>
      <c r="T143" s="179">
        <v>0.14000000000000001</v>
      </c>
      <c r="U143" s="144"/>
      <c r="V143" s="144"/>
      <c r="W143" s="144"/>
      <c r="X143" s="144"/>
      <c r="Y143" s="144"/>
      <c r="Z143" s="144"/>
      <c r="AA143" s="144"/>
    </row>
    <row r="144" spans="1:27" x14ac:dyDescent="0.2">
      <c r="A144" s="117"/>
      <c r="B144" s="117"/>
      <c r="C144" s="117"/>
      <c r="D144" s="193"/>
      <c r="E144" s="193"/>
      <c r="F144" s="193"/>
      <c r="G144" s="193"/>
      <c r="I144" s="144"/>
      <c r="J144" s="144"/>
      <c r="K144" s="144"/>
      <c r="L144" s="144"/>
      <c r="M144" s="144"/>
      <c r="N144" s="148"/>
      <c r="O144" s="194"/>
      <c r="P144" s="194"/>
      <c r="Q144" s="144"/>
      <c r="R144" s="164">
        <v>5</v>
      </c>
      <c r="S144" s="144"/>
      <c r="T144" s="179">
        <v>0.15</v>
      </c>
      <c r="U144" s="144"/>
      <c r="V144" s="144"/>
      <c r="W144" s="144"/>
      <c r="X144" s="144"/>
      <c r="Y144" s="144"/>
      <c r="Z144" s="144"/>
      <c r="AA144" s="144"/>
    </row>
    <row r="145" spans="1:27" x14ac:dyDescent="0.2">
      <c r="A145" s="117"/>
      <c r="B145" s="117"/>
      <c r="C145" s="192"/>
      <c r="D145" s="192"/>
      <c r="E145" s="192"/>
      <c r="F145" s="192"/>
      <c r="G145" s="192"/>
      <c r="I145" s="144"/>
      <c r="J145" s="144"/>
      <c r="K145" s="144"/>
      <c r="L145" s="144"/>
      <c r="M145" s="144"/>
      <c r="N145" s="148"/>
      <c r="O145" s="195"/>
      <c r="P145" s="195"/>
      <c r="Q145" s="144"/>
      <c r="R145" s="144"/>
      <c r="S145" s="144"/>
      <c r="T145" s="179">
        <v>0.16</v>
      </c>
      <c r="U145" s="144"/>
      <c r="V145" s="144"/>
      <c r="W145" s="144"/>
      <c r="X145" s="144"/>
      <c r="Y145" s="144"/>
      <c r="Z145" s="144"/>
      <c r="AA145" s="144"/>
    </row>
    <row r="146" spans="1:27" x14ac:dyDescent="0.2">
      <c r="A146" s="117"/>
      <c r="B146" s="117"/>
      <c r="C146" s="192"/>
      <c r="D146" s="192"/>
      <c r="E146" s="192"/>
      <c r="F146" s="192"/>
      <c r="G146" s="192"/>
      <c r="I146" s="144"/>
      <c r="J146" s="144"/>
      <c r="K146" s="144"/>
      <c r="L146" s="144"/>
      <c r="M146" s="144"/>
      <c r="N146" s="148"/>
      <c r="O146" s="195"/>
      <c r="P146" s="195"/>
      <c r="Q146" s="144"/>
      <c r="R146" s="148"/>
      <c r="S146" s="144"/>
      <c r="T146" s="179">
        <v>0.17</v>
      </c>
      <c r="U146" s="144"/>
      <c r="V146" s="144"/>
      <c r="W146" s="144"/>
      <c r="X146" s="144"/>
      <c r="Y146" s="144"/>
      <c r="Z146" s="144"/>
      <c r="AA146" s="144"/>
    </row>
    <row r="147" spans="1:27" x14ac:dyDescent="0.2">
      <c r="A147" s="117"/>
      <c r="B147" s="117"/>
      <c r="C147" s="193"/>
      <c r="D147" s="193"/>
      <c r="E147" s="193"/>
      <c r="F147" s="193"/>
      <c r="G147" s="193"/>
      <c r="I147" s="144"/>
      <c r="J147" s="144"/>
      <c r="K147" s="144"/>
      <c r="L147" s="144"/>
      <c r="M147" s="144"/>
      <c r="N147" s="148"/>
      <c r="O147" s="195"/>
      <c r="P147" s="195"/>
      <c r="Q147" s="144"/>
      <c r="R147" s="148"/>
      <c r="S147" s="144"/>
      <c r="T147" s="179">
        <v>0.18</v>
      </c>
      <c r="U147" s="144"/>
      <c r="V147" s="144"/>
      <c r="W147" s="144"/>
      <c r="X147" s="144"/>
      <c r="Y147" s="144"/>
      <c r="Z147" s="144"/>
      <c r="AA147" s="144"/>
    </row>
    <row r="148" spans="1:27" x14ac:dyDescent="0.2">
      <c r="A148" s="117"/>
      <c r="B148" s="117"/>
      <c r="C148" s="117"/>
      <c r="D148" s="117"/>
      <c r="E148" s="117"/>
      <c r="F148" s="117"/>
      <c r="G148" s="187"/>
      <c r="I148" s="144"/>
      <c r="J148" s="144"/>
      <c r="K148" s="144"/>
      <c r="L148" s="144"/>
      <c r="M148" s="144"/>
      <c r="N148" s="148" t="s">
        <v>922</v>
      </c>
      <c r="O148" s="195"/>
      <c r="P148" s="195"/>
      <c r="Q148" s="144"/>
      <c r="R148" s="148"/>
      <c r="S148" s="144"/>
      <c r="T148" s="179">
        <v>0.19</v>
      </c>
      <c r="U148" s="144"/>
      <c r="V148" s="144"/>
      <c r="W148" s="144"/>
      <c r="X148" s="144"/>
      <c r="Y148" s="144"/>
      <c r="Z148" s="144"/>
      <c r="AA148" s="144"/>
    </row>
    <row r="149" spans="1:27" x14ac:dyDescent="0.2">
      <c r="A149" s="117"/>
      <c r="B149" s="117"/>
      <c r="C149" s="117"/>
      <c r="D149" s="117"/>
      <c r="E149" s="117"/>
      <c r="F149" s="117"/>
      <c r="G149" s="187"/>
      <c r="I149" s="144"/>
      <c r="J149" s="144"/>
      <c r="K149" s="144"/>
      <c r="L149" s="144"/>
      <c r="M149" s="144"/>
      <c r="N149" s="148" t="s">
        <v>734</v>
      </c>
      <c r="O149" s="195"/>
      <c r="P149" s="195"/>
      <c r="Q149" s="144"/>
      <c r="R149" s="144"/>
      <c r="S149" s="144"/>
      <c r="T149" s="179">
        <v>0.2</v>
      </c>
      <c r="U149" s="144"/>
      <c r="V149" s="144"/>
      <c r="W149" s="144"/>
      <c r="X149" s="144"/>
      <c r="Y149" s="144"/>
      <c r="Z149" s="144"/>
      <c r="AA149" s="144"/>
    </row>
    <row r="150" spans="1:27" x14ac:dyDescent="0.2">
      <c r="A150" s="117"/>
      <c r="B150" s="117"/>
      <c r="C150" s="117"/>
      <c r="D150" s="117"/>
      <c r="E150" s="117"/>
      <c r="F150" s="117"/>
      <c r="G150" s="187"/>
      <c r="I150" s="144"/>
      <c r="J150" s="144"/>
      <c r="K150" s="144"/>
      <c r="L150" s="144"/>
      <c r="M150" s="144"/>
      <c r="N150" s="148" t="s">
        <v>923</v>
      </c>
      <c r="O150" s="195"/>
      <c r="P150" s="195"/>
      <c r="Q150" s="144"/>
      <c r="R150" s="144"/>
      <c r="S150" s="144"/>
      <c r="T150" s="179">
        <v>0.21</v>
      </c>
      <c r="U150" s="144"/>
      <c r="V150" s="144"/>
      <c r="W150" s="144"/>
      <c r="X150" s="144"/>
      <c r="Y150" s="144"/>
      <c r="Z150" s="144"/>
      <c r="AA150" s="144"/>
    </row>
    <row r="151" spans="1:27" x14ac:dyDescent="0.2">
      <c r="A151" s="117"/>
      <c r="B151" s="117"/>
      <c r="C151" s="117"/>
      <c r="D151" s="193"/>
      <c r="E151" s="193"/>
      <c r="F151" s="193"/>
      <c r="G151" s="193"/>
      <c r="H151" s="155"/>
      <c r="I151" s="144"/>
      <c r="J151" s="144"/>
      <c r="K151" s="144"/>
      <c r="L151" s="144"/>
      <c r="M151" s="144"/>
      <c r="N151" s="148" t="s">
        <v>757</v>
      </c>
      <c r="O151" s="195"/>
      <c r="P151" s="195"/>
      <c r="Q151" s="144"/>
      <c r="R151" s="144"/>
      <c r="S151" s="144"/>
      <c r="T151" s="179">
        <v>0.22</v>
      </c>
      <c r="U151" s="144"/>
      <c r="V151" s="144"/>
      <c r="W151" s="144"/>
      <c r="X151" s="144"/>
      <c r="Y151" s="144"/>
      <c r="Z151" s="144"/>
      <c r="AA151" s="144"/>
    </row>
    <row r="152" spans="1:27" x14ac:dyDescent="0.2">
      <c r="A152" s="117"/>
      <c r="B152" s="117"/>
      <c r="C152" s="117"/>
      <c r="D152" s="117"/>
      <c r="E152" s="117"/>
      <c r="F152" s="117"/>
      <c r="G152" s="187"/>
      <c r="I152" s="144"/>
      <c r="J152" s="144"/>
      <c r="K152" s="144"/>
      <c r="L152" s="144"/>
      <c r="M152" s="144"/>
      <c r="N152" s="148" t="s">
        <v>758</v>
      </c>
      <c r="O152" s="194"/>
      <c r="P152" s="194"/>
      <c r="Q152" s="144"/>
      <c r="R152" s="144"/>
      <c r="S152" s="144"/>
      <c r="T152" s="179">
        <v>0.23</v>
      </c>
      <c r="U152" s="144"/>
      <c r="V152" s="144"/>
      <c r="W152" s="144"/>
      <c r="X152" s="144"/>
      <c r="Y152" s="144"/>
      <c r="Z152" s="144"/>
      <c r="AA152" s="144"/>
    </row>
    <row r="153" spans="1:27" x14ac:dyDescent="0.2">
      <c r="A153" s="117"/>
      <c r="B153" s="117"/>
      <c r="C153" s="117"/>
      <c r="D153" s="117"/>
      <c r="E153" s="117"/>
      <c r="F153" s="117"/>
      <c r="G153" s="187"/>
      <c r="I153" s="144"/>
      <c r="J153" s="144"/>
      <c r="K153" s="144"/>
      <c r="L153" s="144"/>
      <c r="M153" s="144"/>
      <c r="N153" s="148"/>
      <c r="O153" s="194"/>
      <c r="P153" s="194"/>
      <c r="Q153" s="144"/>
      <c r="R153" s="144"/>
      <c r="S153" s="144"/>
      <c r="T153" s="179">
        <v>0.24</v>
      </c>
      <c r="U153" s="144"/>
      <c r="V153" s="144"/>
      <c r="W153" s="144"/>
      <c r="X153" s="144"/>
      <c r="Y153" s="144"/>
      <c r="Z153" s="144"/>
      <c r="AA153" s="144"/>
    </row>
    <row r="154" spans="1:27" x14ac:dyDescent="0.2">
      <c r="A154" s="117"/>
      <c r="B154" s="117"/>
      <c r="C154" s="117"/>
      <c r="D154" s="117"/>
      <c r="E154" s="117"/>
      <c r="F154" s="117"/>
      <c r="G154" s="187"/>
      <c r="I154" s="144"/>
      <c r="J154" s="144"/>
      <c r="K154" s="144"/>
      <c r="L154" s="144"/>
      <c r="M154" s="144"/>
      <c r="N154" s="148"/>
      <c r="O154" s="194"/>
      <c r="P154" s="194"/>
      <c r="Q154" s="144"/>
      <c r="R154" s="144"/>
      <c r="S154" s="144"/>
      <c r="T154" s="179">
        <v>0.25</v>
      </c>
      <c r="U154" s="144"/>
      <c r="V154" s="144"/>
      <c r="W154" s="144"/>
      <c r="X154" s="144"/>
      <c r="Y154" s="144"/>
      <c r="Z154" s="144"/>
      <c r="AA154" s="144"/>
    </row>
    <row r="155" spans="1:27" x14ac:dyDescent="0.2">
      <c r="A155" s="117"/>
      <c r="B155" s="117"/>
      <c r="C155" s="117"/>
      <c r="D155" s="117"/>
      <c r="E155" s="117"/>
      <c r="F155" s="117"/>
      <c r="G155" s="187"/>
      <c r="I155" s="144"/>
      <c r="J155" s="144"/>
      <c r="K155" s="144"/>
      <c r="L155" s="144"/>
      <c r="M155" s="144"/>
      <c r="N155" s="148"/>
      <c r="O155" s="195"/>
      <c r="P155" s="195"/>
      <c r="Q155" s="144"/>
      <c r="R155" s="144"/>
      <c r="S155" s="144"/>
      <c r="T155" s="179">
        <v>0.26</v>
      </c>
      <c r="U155" s="144"/>
      <c r="V155" s="144"/>
      <c r="W155" s="144"/>
      <c r="X155" s="144"/>
      <c r="Y155" s="144"/>
      <c r="Z155" s="144"/>
      <c r="AA155" s="144"/>
    </row>
    <row r="156" spans="1:27" x14ac:dyDescent="0.2">
      <c r="A156" s="117"/>
      <c r="B156" s="117"/>
      <c r="C156" s="117"/>
      <c r="D156" s="117"/>
      <c r="E156" s="117"/>
      <c r="F156" s="117"/>
      <c r="G156" s="187"/>
      <c r="I156" s="144"/>
      <c r="J156" s="144"/>
      <c r="K156" s="144"/>
      <c r="L156" s="144"/>
      <c r="M156" s="144"/>
      <c r="N156" s="148"/>
      <c r="O156" s="194"/>
      <c r="P156" s="194"/>
      <c r="Q156" s="144"/>
      <c r="R156" s="144"/>
      <c r="S156" s="144"/>
      <c r="T156" s="179">
        <v>0.27</v>
      </c>
      <c r="U156" s="144"/>
      <c r="V156" s="144"/>
      <c r="W156" s="144"/>
      <c r="X156" s="144"/>
      <c r="Y156" s="144"/>
      <c r="Z156" s="144"/>
      <c r="AA156" s="144"/>
    </row>
    <row r="157" spans="1:27" x14ac:dyDescent="0.2">
      <c r="A157" s="117"/>
      <c r="B157" s="117"/>
      <c r="C157" s="117"/>
      <c r="D157" s="117"/>
      <c r="E157" s="117"/>
      <c r="F157" s="117"/>
      <c r="G157" s="187"/>
      <c r="I157" s="144"/>
      <c r="J157" s="144"/>
      <c r="K157" s="144"/>
      <c r="L157" s="144"/>
      <c r="M157" s="144"/>
      <c r="N157" s="148"/>
      <c r="O157" s="195"/>
      <c r="P157" s="195"/>
      <c r="Q157" s="144"/>
      <c r="R157" s="144"/>
      <c r="S157" s="144"/>
      <c r="T157" s="179">
        <v>0.28000000000000003</v>
      </c>
      <c r="U157" s="144"/>
      <c r="V157" s="144"/>
      <c r="W157" s="144"/>
      <c r="X157" s="144"/>
      <c r="Y157" s="144"/>
      <c r="Z157" s="144"/>
      <c r="AA157" s="144"/>
    </row>
    <row r="158" spans="1:27" x14ac:dyDescent="0.2">
      <c r="A158" s="117"/>
      <c r="B158" s="117"/>
      <c r="C158" s="117"/>
      <c r="D158" s="117"/>
      <c r="E158" s="117"/>
      <c r="F158" s="117"/>
      <c r="G158" s="187"/>
      <c r="I158" s="144"/>
      <c r="J158" s="144"/>
      <c r="K158" s="144"/>
      <c r="L158" s="144"/>
      <c r="M158" s="144"/>
      <c r="N158" s="148"/>
      <c r="O158" s="195"/>
      <c r="P158" s="195"/>
      <c r="Q158" s="144"/>
      <c r="R158" s="144"/>
      <c r="S158" s="144"/>
      <c r="T158" s="179">
        <v>0.28999999999999998</v>
      </c>
      <c r="U158" s="144"/>
      <c r="V158" s="144"/>
      <c r="W158" s="144"/>
      <c r="X158" s="144"/>
      <c r="Y158" s="144"/>
      <c r="Z158" s="144"/>
      <c r="AA158" s="144"/>
    </row>
    <row r="159" spans="1:27" x14ac:dyDescent="0.2">
      <c r="A159" s="117"/>
      <c r="B159" s="117"/>
      <c r="C159" s="117"/>
      <c r="D159" s="117"/>
      <c r="E159" s="117"/>
      <c r="F159" s="117"/>
      <c r="G159" s="187"/>
      <c r="I159" s="144"/>
      <c r="J159" s="144"/>
      <c r="K159" s="144"/>
      <c r="L159" s="144"/>
      <c r="M159" s="144"/>
      <c r="N159" s="148"/>
      <c r="O159" s="194"/>
      <c r="P159" s="194"/>
      <c r="Q159" s="144"/>
      <c r="R159" s="144"/>
      <c r="S159" s="144"/>
      <c r="T159" s="179">
        <v>0.3</v>
      </c>
      <c r="U159" s="144"/>
      <c r="V159" s="144"/>
      <c r="W159" s="144"/>
      <c r="X159" s="144"/>
      <c r="Y159" s="144"/>
      <c r="Z159" s="144"/>
      <c r="AA159" s="144"/>
    </row>
    <row r="160" spans="1:27" x14ac:dyDescent="0.2">
      <c r="A160" s="117"/>
      <c r="B160" s="117"/>
      <c r="C160" s="117"/>
      <c r="D160" s="117"/>
      <c r="E160" s="117"/>
      <c r="F160" s="117"/>
      <c r="G160" s="187"/>
      <c r="I160" s="144"/>
      <c r="J160" s="144"/>
      <c r="K160" s="144"/>
      <c r="L160" s="144"/>
      <c r="M160" s="144"/>
      <c r="N160" s="148"/>
      <c r="O160" s="195"/>
      <c r="P160" s="195"/>
      <c r="Q160" s="144"/>
      <c r="R160" s="144"/>
      <c r="S160" s="144"/>
      <c r="T160" s="179">
        <v>0.31</v>
      </c>
      <c r="U160" s="144"/>
      <c r="V160" s="144"/>
      <c r="W160" s="144"/>
      <c r="X160" s="144"/>
      <c r="Y160" s="144"/>
      <c r="Z160" s="144"/>
      <c r="AA160" s="144"/>
    </row>
    <row r="161" spans="1:27" x14ac:dyDescent="0.2">
      <c r="A161" s="117"/>
      <c r="B161" s="117"/>
      <c r="C161" s="117"/>
      <c r="D161" s="117"/>
      <c r="E161" s="117"/>
      <c r="F161" s="117"/>
      <c r="G161" s="187"/>
      <c r="I161" s="144"/>
      <c r="J161" s="144"/>
      <c r="K161" s="144"/>
      <c r="L161" s="144"/>
      <c r="M161" s="144"/>
      <c r="N161" s="148"/>
      <c r="O161" s="195"/>
      <c r="P161" s="195"/>
      <c r="Q161" s="144"/>
      <c r="R161" s="144"/>
      <c r="S161" s="144"/>
      <c r="T161" s="179">
        <v>0.32</v>
      </c>
      <c r="U161" s="144"/>
      <c r="V161" s="144"/>
      <c r="W161" s="144"/>
      <c r="X161" s="144"/>
      <c r="Y161" s="144"/>
      <c r="Z161" s="144"/>
      <c r="AA161" s="144"/>
    </row>
    <row r="162" spans="1:27" x14ac:dyDescent="0.2">
      <c r="A162" s="117"/>
      <c r="B162" s="117"/>
      <c r="C162" s="117"/>
      <c r="D162" s="117"/>
      <c r="E162" s="117"/>
      <c r="F162" s="117"/>
      <c r="G162" s="187"/>
      <c r="I162" s="144"/>
      <c r="J162" s="144"/>
      <c r="K162" s="144"/>
      <c r="L162" s="144"/>
      <c r="M162" s="144"/>
      <c r="N162" s="146"/>
      <c r="O162" s="195"/>
      <c r="P162" s="195"/>
      <c r="Q162" s="144"/>
      <c r="R162" s="144"/>
      <c r="S162" s="144"/>
      <c r="T162" s="179">
        <v>0.33</v>
      </c>
      <c r="U162" s="144"/>
      <c r="V162" s="144"/>
      <c r="W162" s="144"/>
      <c r="X162" s="144"/>
      <c r="Y162" s="144"/>
      <c r="Z162" s="144"/>
      <c r="AA162" s="144"/>
    </row>
    <row r="163" spans="1:27" x14ac:dyDescent="0.2">
      <c r="A163" s="117"/>
      <c r="B163" s="117"/>
      <c r="C163" s="117"/>
      <c r="D163" s="117"/>
      <c r="E163" s="117"/>
      <c r="F163" s="117"/>
      <c r="G163" s="187"/>
      <c r="I163" s="144"/>
      <c r="J163" s="144"/>
      <c r="K163" s="144"/>
      <c r="L163" s="144"/>
      <c r="M163" s="144"/>
      <c r="N163" s="148"/>
      <c r="O163" s="195"/>
      <c r="P163" s="195"/>
      <c r="Q163" s="144"/>
      <c r="R163" s="144"/>
      <c r="S163" s="144"/>
      <c r="T163" s="179">
        <v>0.34</v>
      </c>
      <c r="U163" s="144"/>
      <c r="V163" s="144"/>
      <c r="W163" s="144"/>
      <c r="X163" s="144"/>
      <c r="Y163" s="144"/>
      <c r="Z163" s="144"/>
      <c r="AA163" s="144"/>
    </row>
    <row r="164" spans="1:27" x14ac:dyDescent="0.2">
      <c r="A164" s="117"/>
      <c r="B164" s="117"/>
      <c r="C164" s="117"/>
      <c r="D164" s="117"/>
      <c r="E164" s="117"/>
      <c r="F164" s="117"/>
      <c r="G164" s="187"/>
      <c r="I164" s="144"/>
      <c r="J164" s="144"/>
      <c r="K164" s="144"/>
      <c r="L164" s="144"/>
      <c r="M164" s="144"/>
      <c r="N164" s="148"/>
      <c r="O164" s="194"/>
      <c r="P164" s="194"/>
      <c r="Q164" s="144"/>
      <c r="R164" s="144"/>
      <c r="S164" s="144"/>
      <c r="T164" s="179">
        <v>0.35</v>
      </c>
      <c r="U164" s="144"/>
      <c r="V164" s="144"/>
      <c r="W164" s="144"/>
      <c r="X164" s="144"/>
      <c r="Y164" s="144"/>
      <c r="Z164" s="144"/>
      <c r="AA164" s="144"/>
    </row>
    <row r="165" spans="1:27" x14ac:dyDescent="0.2">
      <c r="A165" s="117"/>
      <c r="B165" s="117"/>
      <c r="C165" s="117"/>
      <c r="D165" s="117"/>
      <c r="E165" s="117"/>
      <c r="F165" s="117"/>
      <c r="G165" s="187"/>
      <c r="I165" s="144"/>
      <c r="J165" s="144"/>
      <c r="K165" s="144"/>
      <c r="L165" s="144"/>
      <c r="M165" s="144"/>
      <c r="N165" s="148"/>
      <c r="O165" s="195"/>
      <c r="P165" s="195"/>
      <c r="Q165" s="144"/>
      <c r="R165" s="144"/>
      <c r="S165" s="144"/>
      <c r="T165" s="179">
        <v>0.36</v>
      </c>
      <c r="U165" s="144"/>
      <c r="V165" s="144"/>
      <c r="W165" s="144"/>
      <c r="X165" s="144"/>
      <c r="Y165" s="144"/>
      <c r="Z165" s="144"/>
      <c r="AA165" s="144"/>
    </row>
    <row r="166" spans="1:27" x14ac:dyDescent="0.2">
      <c r="A166" s="117"/>
      <c r="B166" s="117"/>
      <c r="C166" s="117"/>
      <c r="D166" s="117"/>
      <c r="E166" s="117"/>
      <c r="F166" s="117"/>
      <c r="G166" s="187"/>
      <c r="I166" s="144"/>
      <c r="J166" s="144"/>
      <c r="K166" s="144"/>
      <c r="L166" s="144"/>
      <c r="M166" s="144"/>
      <c r="N166" s="148"/>
      <c r="O166" s="195"/>
      <c r="P166" s="195"/>
      <c r="Q166" s="144"/>
      <c r="R166" s="144"/>
      <c r="S166" s="144"/>
      <c r="T166" s="179">
        <v>0.37</v>
      </c>
      <c r="U166" s="144"/>
      <c r="V166" s="144"/>
      <c r="W166" s="144"/>
      <c r="X166" s="144"/>
      <c r="Y166" s="144"/>
      <c r="Z166" s="144"/>
      <c r="AA166" s="144"/>
    </row>
    <row r="167" spans="1:27" x14ac:dyDescent="0.2">
      <c r="A167" s="117"/>
      <c r="B167" s="117"/>
      <c r="C167" s="117"/>
      <c r="D167" s="117"/>
      <c r="E167" s="117"/>
      <c r="F167" s="117"/>
      <c r="G167" s="187"/>
      <c r="I167" s="144"/>
      <c r="J167" s="144"/>
      <c r="K167" s="144"/>
      <c r="L167" s="144"/>
      <c r="M167" s="144"/>
      <c r="N167" s="148"/>
      <c r="O167" s="195"/>
      <c r="P167" s="195"/>
      <c r="Q167" s="144"/>
      <c r="R167" s="144"/>
      <c r="S167" s="144"/>
      <c r="T167" s="179">
        <v>0.38</v>
      </c>
      <c r="U167" s="144"/>
      <c r="V167" s="144"/>
      <c r="W167" s="144"/>
      <c r="X167" s="144"/>
      <c r="Y167" s="144"/>
      <c r="Z167" s="144"/>
      <c r="AA167" s="144"/>
    </row>
    <row r="168" spans="1:27" x14ac:dyDescent="0.2">
      <c r="A168" s="117"/>
      <c r="B168" s="117"/>
      <c r="C168" s="117"/>
      <c r="D168" s="117"/>
      <c r="E168" s="117"/>
      <c r="F168" s="117"/>
      <c r="G168" s="187"/>
      <c r="I168" s="144"/>
      <c r="J168" s="144"/>
      <c r="K168" s="144"/>
      <c r="L168" s="144"/>
      <c r="M168" s="144"/>
      <c r="N168" s="148"/>
      <c r="O168" s="195"/>
      <c r="P168" s="195"/>
      <c r="Q168" s="144"/>
      <c r="R168" s="144"/>
      <c r="S168" s="144"/>
      <c r="T168" s="179">
        <v>0.39</v>
      </c>
      <c r="U168" s="144"/>
      <c r="V168" s="144"/>
      <c r="W168" s="144"/>
      <c r="X168" s="144"/>
      <c r="Y168" s="144"/>
      <c r="Z168" s="144"/>
      <c r="AA168" s="144"/>
    </row>
    <row r="169" spans="1:27" x14ac:dyDescent="0.2">
      <c r="A169" s="117"/>
      <c r="B169" s="117"/>
      <c r="C169" s="117"/>
      <c r="D169" s="117"/>
      <c r="E169" s="117"/>
      <c r="F169" s="117"/>
      <c r="G169" s="187"/>
      <c r="I169" s="144"/>
      <c r="J169" s="144"/>
      <c r="K169" s="144"/>
      <c r="L169" s="144"/>
      <c r="M169" s="144"/>
      <c r="N169" s="148"/>
      <c r="O169" s="195"/>
      <c r="P169" s="195"/>
      <c r="Q169" s="144"/>
      <c r="R169" s="144"/>
      <c r="S169" s="144"/>
      <c r="T169" s="179">
        <v>0.4</v>
      </c>
      <c r="U169" s="144"/>
      <c r="V169" s="144"/>
      <c r="W169" s="144"/>
      <c r="X169" s="144"/>
      <c r="Y169" s="144"/>
      <c r="Z169" s="144"/>
      <c r="AA169" s="144"/>
    </row>
    <row r="170" spans="1:27" x14ac:dyDescent="0.2">
      <c r="A170" s="117"/>
      <c r="B170" s="117"/>
      <c r="C170" s="117"/>
      <c r="D170" s="117"/>
      <c r="E170" s="117"/>
      <c r="F170" s="117"/>
      <c r="G170" s="187"/>
      <c r="I170" s="144"/>
      <c r="J170" s="144"/>
      <c r="K170" s="144"/>
      <c r="L170" s="144"/>
      <c r="M170" s="144"/>
      <c r="N170" s="148"/>
      <c r="O170" s="195"/>
      <c r="P170" s="195"/>
      <c r="Q170" s="144"/>
      <c r="R170" s="144"/>
      <c r="S170" s="144"/>
      <c r="T170" s="179">
        <v>0.41</v>
      </c>
      <c r="U170" s="144"/>
      <c r="V170" s="144"/>
      <c r="W170" s="144"/>
      <c r="X170" s="144"/>
      <c r="Y170" s="144"/>
      <c r="Z170" s="144"/>
      <c r="AA170" s="144"/>
    </row>
    <row r="171" spans="1:27" x14ac:dyDescent="0.2">
      <c r="A171" s="117"/>
      <c r="B171" s="117"/>
      <c r="C171" s="117"/>
      <c r="D171" s="117"/>
      <c r="E171" s="117"/>
      <c r="F171" s="117"/>
      <c r="G171" s="187"/>
      <c r="I171" s="144"/>
      <c r="J171" s="144"/>
      <c r="K171" s="144"/>
      <c r="L171" s="144"/>
      <c r="M171" s="144"/>
      <c r="N171" s="148"/>
      <c r="O171" s="195"/>
      <c r="P171" s="195"/>
      <c r="Q171" s="144"/>
      <c r="R171" s="144"/>
      <c r="S171" s="144"/>
      <c r="T171" s="179">
        <v>0.42</v>
      </c>
      <c r="U171" s="144"/>
      <c r="V171" s="144"/>
      <c r="W171" s="144"/>
      <c r="X171" s="144"/>
      <c r="Y171" s="144"/>
      <c r="Z171" s="144"/>
      <c r="AA171" s="144"/>
    </row>
    <row r="172" spans="1:27" x14ac:dyDescent="0.2">
      <c r="A172" s="117"/>
      <c r="B172" s="117"/>
      <c r="C172" s="117"/>
      <c r="D172" s="117"/>
      <c r="E172" s="117"/>
      <c r="F172" s="117"/>
      <c r="G172" s="187"/>
      <c r="I172" s="144"/>
      <c r="J172" s="144"/>
      <c r="K172" s="144"/>
      <c r="L172" s="144"/>
      <c r="M172" s="144"/>
      <c r="N172" s="148"/>
      <c r="O172" s="195"/>
      <c r="P172" s="195"/>
      <c r="Q172" s="144"/>
      <c r="R172" s="144"/>
      <c r="S172" s="144"/>
      <c r="T172" s="179">
        <v>0.43</v>
      </c>
      <c r="U172" s="144"/>
      <c r="V172" s="144"/>
      <c r="W172" s="144"/>
      <c r="X172" s="144"/>
      <c r="Y172" s="144"/>
      <c r="Z172" s="144"/>
      <c r="AA172" s="144"/>
    </row>
    <row r="173" spans="1:27" x14ac:dyDescent="0.2">
      <c r="A173" s="117"/>
      <c r="B173" s="117"/>
      <c r="C173" s="117"/>
      <c r="D173" s="117"/>
      <c r="E173" s="117"/>
      <c r="F173" s="117"/>
      <c r="G173" s="187"/>
      <c r="I173" s="144"/>
      <c r="J173" s="144"/>
      <c r="K173" s="144"/>
      <c r="L173" s="144"/>
      <c r="M173" s="144"/>
      <c r="N173" s="148"/>
      <c r="O173" s="195"/>
      <c r="P173" s="195"/>
      <c r="Q173" s="144"/>
      <c r="R173" s="144"/>
      <c r="S173" s="144"/>
      <c r="T173" s="179">
        <v>0.44</v>
      </c>
      <c r="U173" s="144"/>
      <c r="V173" s="144"/>
      <c r="W173" s="144"/>
      <c r="X173" s="144"/>
      <c r="Y173" s="144"/>
      <c r="Z173" s="144"/>
      <c r="AA173" s="144"/>
    </row>
    <row r="174" spans="1:27" x14ac:dyDescent="0.2">
      <c r="A174" s="117"/>
      <c r="B174" s="117"/>
      <c r="C174" s="117"/>
      <c r="D174" s="117"/>
      <c r="E174" s="117"/>
      <c r="F174" s="117"/>
      <c r="G174" s="187"/>
      <c r="I174" s="144"/>
      <c r="J174" s="144"/>
      <c r="K174" s="144"/>
      <c r="L174" s="144"/>
      <c r="M174" s="144"/>
      <c r="N174" s="148"/>
      <c r="O174" s="195"/>
      <c r="P174" s="195"/>
      <c r="Q174" s="144"/>
      <c r="R174" s="144"/>
      <c r="S174" s="144"/>
      <c r="T174" s="179">
        <v>0.45</v>
      </c>
      <c r="U174" s="144"/>
      <c r="V174" s="144"/>
      <c r="W174" s="144"/>
      <c r="X174" s="144"/>
      <c r="Y174" s="144"/>
      <c r="Z174" s="144"/>
      <c r="AA174" s="144"/>
    </row>
    <row r="175" spans="1:27" x14ac:dyDescent="0.2">
      <c r="A175" s="117"/>
      <c r="B175" s="117"/>
      <c r="C175" s="117"/>
      <c r="D175" s="117"/>
      <c r="E175" s="117"/>
      <c r="F175" s="117"/>
      <c r="G175" s="187"/>
      <c r="I175" s="144"/>
      <c r="J175" s="144"/>
      <c r="K175" s="144"/>
      <c r="L175" s="144"/>
      <c r="M175" s="144"/>
      <c r="N175" s="148"/>
      <c r="O175" s="195"/>
      <c r="P175" s="195"/>
      <c r="Q175" s="144"/>
      <c r="R175" s="144"/>
      <c r="S175" s="144"/>
      <c r="T175" s="179">
        <v>0.46</v>
      </c>
      <c r="U175" s="144"/>
      <c r="V175" s="144"/>
      <c r="W175" s="144"/>
      <c r="X175" s="144"/>
      <c r="Y175" s="144"/>
      <c r="Z175" s="144"/>
      <c r="AA175" s="144"/>
    </row>
    <row r="176" spans="1:27" x14ac:dyDescent="0.2">
      <c r="A176" s="117"/>
      <c r="B176" s="117"/>
      <c r="C176" s="117"/>
      <c r="D176" s="117"/>
      <c r="E176" s="117"/>
      <c r="F176" s="117"/>
      <c r="G176" s="187"/>
      <c r="I176" s="144"/>
      <c r="J176" s="144"/>
      <c r="K176" s="144"/>
      <c r="L176" s="144"/>
      <c r="M176" s="144"/>
      <c r="N176" s="148"/>
      <c r="O176" s="195"/>
      <c r="P176" s="195"/>
      <c r="Q176" s="144"/>
      <c r="R176" s="144"/>
      <c r="S176" s="144"/>
      <c r="T176" s="179">
        <v>0.47</v>
      </c>
      <c r="U176" s="144"/>
      <c r="V176" s="144"/>
      <c r="W176" s="144"/>
      <c r="X176" s="144"/>
      <c r="Y176" s="144"/>
      <c r="Z176" s="144"/>
      <c r="AA176" s="144"/>
    </row>
    <row r="177" spans="1:27" x14ac:dyDescent="0.2">
      <c r="A177" s="117"/>
      <c r="B177" s="117"/>
      <c r="C177" s="117"/>
      <c r="D177" s="117"/>
      <c r="E177" s="117"/>
      <c r="F177" s="117"/>
      <c r="G177" s="187"/>
      <c r="I177" s="144"/>
      <c r="J177" s="144"/>
      <c r="K177" s="144"/>
      <c r="L177" s="144"/>
      <c r="M177" s="144"/>
      <c r="N177" s="148"/>
      <c r="O177" s="195"/>
      <c r="P177" s="195"/>
      <c r="Q177" s="144"/>
      <c r="R177" s="144"/>
      <c r="S177" s="144"/>
      <c r="T177" s="179">
        <v>0.48</v>
      </c>
      <c r="U177" s="144"/>
      <c r="V177" s="144"/>
      <c r="W177" s="144"/>
      <c r="X177" s="144"/>
      <c r="Y177" s="144"/>
      <c r="Z177" s="144"/>
      <c r="AA177" s="144"/>
    </row>
    <row r="178" spans="1:27" x14ac:dyDescent="0.2">
      <c r="A178" s="117"/>
      <c r="B178" s="117"/>
      <c r="C178" s="117"/>
      <c r="D178" s="117"/>
      <c r="E178" s="117"/>
      <c r="F178" s="117"/>
      <c r="G178" s="187"/>
      <c r="I178" s="144"/>
      <c r="J178" s="144"/>
      <c r="K178" s="144"/>
      <c r="L178" s="144"/>
      <c r="M178" s="144"/>
      <c r="N178" s="148"/>
      <c r="O178" s="195"/>
      <c r="P178" s="195"/>
      <c r="Q178" s="144"/>
      <c r="R178" s="144"/>
      <c r="S178" s="144"/>
      <c r="T178" s="179">
        <v>0.49</v>
      </c>
      <c r="U178" s="144"/>
      <c r="V178" s="144"/>
      <c r="W178" s="144"/>
      <c r="X178" s="144"/>
      <c r="Y178" s="144"/>
      <c r="Z178" s="144"/>
      <c r="AA178" s="144"/>
    </row>
    <row r="179" spans="1:27" x14ac:dyDescent="0.2">
      <c r="A179" s="117"/>
      <c r="B179" s="117"/>
      <c r="C179" s="117"/>
      <c r="D179" s="117"/>
      <c r="E179" s="117"/>
      <c r="F179" s="117"/>
      <c r="G179" s="187"/>
      <c r="I179" s="144"/>
      <c r="J179" s="144"/>
      <c r="K179" s="144"/>
      <c r="L179" s="144"/>
      <c r="M179" s="144"/>
      <c r="N179" s="148"/>
      <c r="O179" s="195"/>
      <c r="P179" s="195"/>
      <c r="Q179" s="144"/>
      <c r="R179" s="144"/>
      <c r="S179" s="144"/>
      <c r="T179" s="179">
        <v>0.5</v>
      </c>
      <c r="U179" s="144"/>
      <c r="V179" s="144"/>
      <c r="W179" s="144"/>
      <c r="X179" s="144"/>
      <c r="Y179" s="144"/>
      <c r="Z179" s="144"/>
      <c r="AA179" s="144"/>
    </row>
    <row r="180" spans="1:27" x14ac:dyDescent="0.2">
      <c r="A180" s="117"/>
      <c r="B180" s="117"/>
      <c r="C180" s="117"/>
      <c r="D180" s="117"/>
      <c r="E180" s="117"/>
      <c r="F180" s="117"/>
      <c r="G180" s="187"/>
      <c r="I180" s="144"/>
      <c r="J180" s="144"/>
      <c r="K180" s="144"/>
      <c r="L180" s="144"/>
      <c r="M180" s="144"/>
      <c r="N180" s="148"/>
      <c r="O180" s="195"/>
      <c r="P180" s="195"/>
      <c r="Q180" s="144"/>
      <c r="R180" s="144"/>
      <c r="S180" s="144"/>
      <c r="T180" s="179">
        <v>0.51</v>
      </c>
      <c r="U180" s="144"/>
      <c r="V180" s="144"/>
      <c r="W180" s="144"/>
      <c r="X180" s="144"/>
      <c r="Y180" s="144"/>
      <c r="Z180" s="144"/>
      <c r="AA180" s="144"/>
    </row>
    <row r="181" spans="1:27" x14ac:dyDescent="0.2">
      <c r="A181" s="117"/>
      <c r="B181" s="117"/>
      <c r="C181" s="117"/>
      <c r="D181" s="117"/>
      <c r="E181" s="117"/>
      <c r="F181" s="117"/>
      <c r="G181" s="187"/>
      <c r="I181" s="144"/>
      <c r="J181" s="144"/>
      <c r="K181" s="144"/>
      <c r="L181" s="144"/>
      <c r="M181" s="144"/>
      <c r="N181" s="148"/>
      <c r="O181" s="195"/>
      <c r="P181" s="195"/>
      <c r="Q181" s="144"/>
      <c r="R181" s="144"/>
      <c r="S181" s="144"/>
      <c r="T181" s="179">
        <v>0.52</v>
      </c>
      <c r="U181" s="144"/>
      <c r="V181" s="144"/>
      <c r="W181" s="144"/>
      <c r="X181" s="144"/>
      <c r="Y181" s="144"/>
      <c r="Z181" s="144"/>
      <c r="AA181" s="144"/>
    </row>
    <row r="182" spans="1:27" x14ac:dyDescent="0.2">
      <c r="A182" s="117"/>
      <c r="B182" s="117"/>
      <c r="C182" s="117"/>
      <c r="D182" s="117"/>
      <c r="E182" s="117"/>
      <c r="F182" s="117"/>
      <c r="G182" s="187"/>
      <c r="I182" s="144"/>
      <c r="J182" s="144"/>
      <c r="K182" s="144"/>
      <c r="L182" s="144"/>
      <c r="M182" s="144"/>
      <c r="N182" s="148"/>
      <c r="O182" s="195"/>
      <c r="P182" s="195"/>
      <c r="Q182" s="144"/>
      <c r="R182" s="144"/>
      <c r="S182" s="144"/>
      <c r="T182" s="179">
        <v>0.53</v>
      </c>
      <c r="U182" s="144"/>
      <c r="V182" s="144"/>
      <c r="W182" s="144"/>
      <c r="X182" s="144"/>
      <c r="Y182" s="144"/>
      <c r="Z182" s="144"/>
      <c r="AA182" s="144"/>
    </row>
    <row r="183" spans="1:27" x14ac:dyDescent="0.2">
      <c r="A183" s="117"/>
      <c r="B183" s="117"/>
      <c r="C183" s="117"/>
      <c r="D183" s="117"/>
      <c r="E183" s="117"/>
      <c r="F183" s="117"/>
      <c r="G183" s="187"/>
      <c r="I183" s="144"/>
      <c r="J183" s="144"/>
      <c r="K183" s="144"/>
      <c r="L183" s="144"/>
      <c r="M183" s="144"/>
      <c r="N183" s="148"/>
      <c r="O183" s="195"/>
      <c r="P183" s="195"/>
      <c r="Q183" s="144"/>
      <c r="R183" s="144"/>
      <c r="S183" s="144"/>
      <c r="T183" s="179">
        <v>0.54</v>
      </c>
      <c r="U183" s="144"/>
      <c r="V183" s="144"/>
      <c r="W183" s="144"/>
      <c r="X183" s="144"/>
      <c r="Y183" s="144"/>
      <c r="Z183" s="144"/>
      <c r="AA183" s="144"/>
    </row>
    <row r="184" spans="1:27" x14ac:dyDescent="0.2">
      <c r="A184" s="117"/>
      <c r="B184" s="117"/>
      <c r="C184" s="117"/>
      <c r="D184" s="117"/>
      <c r="E184" s="117"/>
      <c r="F184" s="117"/>
      <c r="G184" s="187"/>
      <c r="I184" s="144"/>
      <c r="J184" s="144"/>
      <c r="K184" s="144"/>
      <c r="L184" s="144"/>
      <c r="M184" s="144"/>
      <c r="N184" s="148"/>
      <c r="O184" s="195"/>
      <c r="P184" s="195"/>
      <c r="Q184" s="144"/>
      <c r="R184" s="144"/>
      <c r="S184" s="144"/>
      <c r="T184" s="179">
        <v>0.55000000000000004</v>
      </c>
      <c r="U184" s="144"/>
      <c r="V184" s="144"/>
      <c r="W184" s="144"/>
      <c r="X184" s="144"/>
      <c r="Y184" s="144"/>
      <c r="Z184" s="144"/>
      <c r="AA184" s="144"/>
    </row>
    <row r="185" spans="1:27" x14ac:dyDescent="0.2">
      <c r="A185" s="117"/>
      <c r="B185" s="117"/>
      <c r="C185" s="117"/>
      <c r="D185" s="117"/>
      <c r="E185" s="117"/>
      <c r="F185" s="117"/>
      <c r="G185" s="187"/>
      <c r="I185" s="144"/>
      <c r="J185" s="144"/>
      <c r="K185" s="144"/>
      <c r="L185" s="144"/>
      <c r="M185" s="144"/>
      <c r="N185" s="148"/>
      <c r="O185" s="195"/>
      <c r="P185" s="195"/>
      <c r="Q185" s="144"/>
      <c r="R185" s="144"/>
      <c r="S185" s="144"/>
      <c r="T185" s="179">
        <v>0.56000000000000005</v>
      </c>
      <c r="U185" s="144"/>
      <c r="V185" s="144"/>
      <c r="W185" s="144"/>
      <c r="X185" s="144"/>
      <c r="Y185" s="144"/>
      <c r="Z185" s="144"/>
      <c r="AA185" s="144"/>
    </row>
    <row r="186" spans="1:27" x14ac:dyDescent="0.2">
      <c r="A186" s="117"/>
      <c r="B186" s="117"/>
      <c r="C186" s="117"/>
      <c r="D186" s="117"/>
      <c r="E186" s="117"/>
      <c r="F186" s="117"/>
      <c r="G186" s="187"/>
      <c r="I186" s="144"/>
      <c r="J186" s="144"/>
      <c r="K186" s="144"/>
      <c r="L186" s="144"/>
      <c r="M186" s="144"/>
      <c r="N186" s="148"/>
      <c r="O186" s="195"/>
      <c r="P186" s="195"/>
      <c r="Q186" s="144"/>
      <c r="R186" s="144"/>
      <c r="S186" s="144"/>
      <c r="T186" s="179">
        <v>0.56999999999999995</v>
      </c>
      <c r="U186" s="144"/>
      <c r="V186" s="144"/>
      <c r="W186" s="144"/>
      <c r="X186" s="144"/>
      <c r="Y186" s="144"/>
      <c r="Z186" s="144"/>
      <c r="AA186" s="144"/>
    </row>
    <row r="187" spans="1:27" x14ac:dyDescent="0.2">
      <c r="A187" s="117"/>
      <c r="B187" s="117"/>
      <c r="C187" s="117"/>
      <c r="D187" s="117"/>
      <c r="E187" s="117"/>
      <c r="F187" s="117"/>
      <c r="G187" s="187"/>
      <c r="I187" s="144"/>
      <c r="J187" s="144"/>
      <c r="K187" s="144"/>
      <c r="L187" s="144"/>
      <c r="M187" s="144"/>
      <c r="N187" s="148"/>
      <c r="O187" s="195"/>
      <c r="P187" s="195"/>
      <c r="Q187" s="144"/>
      <c r="R187" s="144"/>
      <c r="S187" s="144"/>
      <c r="T187" s="179">
        <v>0.57999999999999996</v>
      </c>
      <c r="U187" s="144"/>
      <c r="V187" s="144"/>
      <c r="W187" s="144"/>
      <c r="X187" s="144"/>
      <c r="Y187" s="144"/>
      <c r="Z187" s="144"/>
      <c r="AA187" s="144"/>
    </row>
    <row r="188" spans="1:27" x14ac:dyDescent="0.2">
      <c r="A188" s="117"/>
      <c r="B188" s="117"/>
      <c r="C188" s="117"/>
      <c r="D188" s="117"/>
      <c r="E188" s="117"/>
      <c r="F188" s="117"/>
      <c r="G188" s="187"/>
      <c r="I188" s="144"/>
      <c r="J188" s="144"/>
      <c r="K188" s="144"/>
      <c r="L188" s="144"/>
      <c r="M188" s="144"/>
      <c r="N188" s="148"/>
      <c r="O188" s="195"/>
      <c r="P188" s="195"/>
      <c r="Q188" s="144"/>
      <c r="R188" s="144"/>
      <c r="S188" s="144"/>
      <c r="T188" s="179">
        <v>0.59</v>
      </c>
      <c r="U188" s="144"/>
      <c r="V188" s="144"/>
      <c r="W188" s="144"/>
      <c r="X188" s="144"/>
      <c r="Y188" s="144"/>
      <c r="Z188" s="144"/>
      <c r="AA188" s="144"/>
    </row>
    <row r="189" spans="1:27" x14ac:dyDescent="0.2">
      <c r="A189" s="117"/>
      <c r="B189" s="117"/>
      <c r="C189" s="117"/>
      <c r="D189" s="117"/>
      <c r="E189" s="117"/>
      <c r="F189" s="117"/>
      <c r="G189" s="187"/>
      <c r="I189" s="144"/>
      <c r="J189" s="144"/>
      <c r="K189" s="144"/>
      <c r="L189" s="144"/>
      <c r="M189" s="144"/>
      <c r="N189" s="148"/>
      <c r="O189" s="195"/>
      <c r="P189" s="195"/>
      <c r="Q189" s="144"/>
      <c r="R189" s="144"/>
      <c r="S189" s="144"/>
      <c r="T189" s="179">
        <v>0.6</v>
      </c>
      <c r="U189" s="144"/>
      <c r="V189" s="144"/>
      <c r="W189" s="144"/>
      <c r="X189" s="144"/>
      <c r="Y189" s="144"/>
      <c r="Z189" s="144"/>
      <c r="AA189" s="144"/>
    </row>
    <row r="190" spans="1:27" x14ac:dyDescent="0.2">
      <c r="A190" s="117"/>
      <c r="B190" s="117"/>
      <c r="C190" s="117"/>
      <c r="D190" s="117"/>
      <c r="E190" s="117"/>
      <c r="F190" s="117"/>
      <c r="G190" s="187"/>
      <c r="I190" s="144"/>
      <c r="J190" s="144"/>
      <c r="K190" s="144"/>
      <c r="L190" s="144"/>
      <c r="M190" s="144"/>
      <c r="N190" s="148"/>
      <c r="O190" s="195"/>
      <c r="P190" s="195"/>
      <c r="Q190" s="144"/>
      <c r="R190" s="144"/>
      <c r="S190" s="144"/>
      <c r="T190" s="179">
        <v>0.61</v>
      </c>
      <c r="U190" s="144"/>
      <c r="V190" s="144"/>
      <c r="W190" s="144"/>
      <c r="X190" s="144"/>
      <c r="Y190" s="144"/>
      <c r="Z190" s="144"/>
      <c r="AA190" s="144"/>
    </row>
    <row r="191" spans="1:27" x14ac:dyDescent="0.2">
      <c r="A191" s="117"/>
      <c r="B191" s="117"/>
      <c r="C191" s="117"/>
      <c r="D191" s="117"/>
      <c r="E191" s="117"/>
      <c r="F191" s="117"/>
      <c r="G191" s="187"/>
      <c r="N191" s="148"/>
      <c r="O191" s="195"/>
      <c r="P191" s="195"/>
      <c r="Q191" s="144"/>
      <c r="R191" s="144"/>
      <c r="S191" s="144"/>
      <c r="T191" s="179">
        <v>0.62</v>
      </c>
      <c r="U191" s="144"/>
      <c r="V191" s="144"/>
      <c r="W191" s="144"/>
      <c r="X191" s="144"/>
      <c r="Y191" s="144"/>
      <c r="Z191" s="144"/>
    </row>
    <row r="192" spans="1:27" hidden="1" x14ac:dyDescent="0.2">
      <c r="A192" s="117"/>
      <c r="B192" s="117"/>
      <c r="C192" s="117"/>
      <c r="D192" s="117"/>
      <c r="E192" s="117"/>
      <c r="F192" s="117"/>
      <c r="G192" s="187"/>
      <c r="N192" s="148"/>
      <c r="O192" s="195"/>
      <c r="P192" s="195"/>
      <c r="Q192" s="144"/>
      <c r="R192" s="144"/>
      <c r="S192" s="144"/>
      <c r="T192" s="179">
        <v>0.63</v>
      </c>
      <c r="U192" s="144"/>
      <c r="V192" s="144"/>
      <c r="W192" s="144"/>
      <c r="X192" s="144"/>
      <c r="Y192" s="144"/>
      <c r="Z192" s="144"/>
    </row>
    <row r="193" spans="1:26" hidden="1" x14ac:dyDescent="0.2">
      <c r="A193" s="117"/>
      <c r="B193" s="117"/>
      <c r="C193" s="117"/>
      <c r="D193" s="117"/>
      <c r="E193" s="117"/>
      <c r="F193" s="117"/>
      <c r="G193" s="187"/>
      <c r="N193" s="148"/>
      <c r="O193" s="195"/>
      <c r="P193" s="195"/>
      <c r="Q193" s="144"/>
      <c r="R193" s="144"/>
      <c r="S193" s="144"/>
      <c r="T193" s="179">
        <v>0.64</v>
      </c>
      <c r="U193" s="144"/>
      <c r="V193" s="144"/>
      <c r="W193" s="144"/>
      <c r="X193" s="144"/>
      <c r="Y193" s="144"/>
      <c r="Z193" s="144"/>
    </row>
    <row r="194" spans="1:26" hidden="1" x14ac:dyDescent="0.2">
      <c r="A194" s="117"/>
      <c r="B194" s="117"/>
      <c r="C194" s="117"/>
      <c r="D194" s="117"/>
      <c r="E194" s="117"/>
      <c r="F194" s="117"/>
      <c r="G194" s="187"/>
      <c r="N194" s="148"/>
      <c r="O194" s="195"/>
      <c r="P194" s="195"/>
      <c r="Q194" s="144"/>
      <c r="R194" s="144"/>
      <c r="S194" s="144"/>
      <c r="T194" s="179">
        <v>0.65</v>
      </c>
      <c r="U194" s="144"/>
      <c r="V194" s="144"/>
      <c r="W194" s="144"/>
      <c r="X194" s="144"/>
      <c r="Y194" s="144"/>
      <c r="Z194" s="144"/>
    </row>
    <row r="195" spans="1:26" hidden="1" x14ac:dyDescent="0.2">
      <c r="A195" s="117"/>
      <c r="B195" s="117"/>
      <c r="C195" s="117"/>
      <c r="D195" s="117"/>
      <c r="E195" s="117"/>
      <c r="F195" s="117"/>
      <c r="G195" s="187"/>
      <c r="N195" s="148"/>
      <c r="O195" s="195"/>
      <c r="P195" s="195"/>
      <c r="Q195" s="144"/>
      <c r="R195" s="144"/>
      <c r="S195" s="144"/>
      <c r="T195" s="179">
        <v>0.66</v>
      </c>
      <c r="U195" s="144"/>
      <c r="V195" s="144"/>
      <c r="W195" s="144"/>
      <c r="X195" s="144"/>
      <c r="Y195" s="144"/>
      <c r="Z195" s="144"/>
    </row>
    <row r="196" spans="1:26" hidden="1" x14ac:dyDescent="0.2">
      <c r="A196" s="117"/>
      <c r="B196" s="117"/>
      <c r="C196" s="117"/>
      <c r="D196" s="117"/>
      <c r="E196" s="117"/>
      <c r="F196" s="117"/>
      <c r="G196" s="187"/>
      <c r="N196" s="148"/>
      <c r="O196" s="195"/>
      <c r="P196" s="195"/>
      <c r="Q196" s="144"/>
      <c r="R196" s="144"/>
      <c r="S196" s="144"/>
      <c r="T196" s="179">
        <v>0.67</v>
      </c>
      <c r="U196" s="144"/>
      <c r="V196" s="144"/>
      <c r="W196" s="144"/>
      <c r="X196" s="144"/>
      <c r="Y196" s="144"/>
      <c r="Z196" s="144"/>
    </row>
    <row r="197" spans="1:26" hidden="1" x14ac:dyDescent="0.2">
      <c r="A197" s="117"/>
      <c r="B197" s="117"/>
      <c r="C197" s="117"/>
      <c r="D197" s="117"/>
      <c r="E197" s="117"/>
      <c r="F197" s="117"/>
      <c r="G197" s="187"/>
      <c r="N197" s="148"/>
      <c r="O197" s="195"/>
      <c r="P197" s="195"/>
      <c r="Q197" s="144"/>
      <c r="R197" s="144"/>
      <c r="S197" s="144"/>
      <c r="T197" s="179">
        <v>0.68</v>
      </c>
      <c r="U197" s="144"/>
      <c r="V197" s="144"/>
      <c r="W197" s="144"/>
      <c r="X197" s="144"/>
      <c r="Y197" s="144"/>
      <c r="Z197" s="144"/>
    </row>
    <row r="198" spans="1:26" hidden="1" x14ac:dyDescent="0.2">
      <c r="A198" s="117"/>
      <c r="B198" s="117"/>
      <c r="C198" s="117"/>
      <c r="D198" s="117"/>
      <c r="E198" s="117"/>
      <c r="F198" s="117"/>
      <c r="G198" s="187"/>
      <c r="N198" s="148"/>
      <c r="O198" s="195"/>
      <c r="P198" s="195"/>
      <c r="Q198" s="144"/>
      <c r="R198" s="144"/>
      <c r="S198" s="144"/>
      <c r="T198" s="179">
        <v>0.69</v>
      </c>
      <c r="U198" s="144"/>
      <c r="V198" s="144"/>
      <c r="W198" s="144"/>
      <c r="X198" s="144"/>
      <c r="Y198" s="144"/>
      <c r="Z198" s="144"/>
    </row>
    <row r="199" spans="1:26" hidden="1" x14ac:dyDescent="0.2">
      <c r="A199" s="117"/>
      <c r="B199" s="117"/>
      <c r="C199" s="117"/>
      <c r="D199" s="117"/>
      <c r="E199" s="117"/>
      <c r="F199" s="117"/>
      <c r="G199" s="187"/>
      <c r="N199" s="148"/>
      <c r="O199" s="195"/>
      <c r="P199" s="195"/>
      <c r="Q199" s="144"/>
      <c r="R199" s="144"/>
      <c r="S199" s="144"/>
      <c r="T199" s="179">
        <v>0.7</v>
      </c>
      <c r="U199" s="144"/>
      <c r="V199" s="144"/>
      <c r="W199" s="144"/>
      <c r="X199" s="144"/>
      <c r="Y199" s="144"/>
      <c r="Z199" s="144"/>
    </row>
    <row r="200" spans="1:26" hidden="1" x14ac:dyDescent="0.2">
      <c r="A200" s="117"/>
      <c r="B200" s="117"/>
      <c r="C200" s="117"/>
      <c r="D200" s="117"/>
      <c r="E200" s="117"/>
      <c r="F200" s="117"/>
      <c r="G200" s="187"/>
      <c r="N200" s="148"/>
      <c r="O200" s="195"/>
      <c r="P200" s="195"/>
      <c r="Q200" s="144"/>
      <c r="R200" s="144"/>
      <c r="S200" s="144"/>
      <c r="T200" s="179">
        <v>0.71</v>
      </c>
      <c r="U200" s="144"/>
      <c r="V200" s="144"/>
      <c r="W200" s="144"/>
      <c r="X200" s="144"/>
      <c r="Y200" s="144"/>
      <c r="Z200" s="144"/>
    </row>
    <row r="201" spans="1:26" hidden="1" x14ac:dyDescent="0.2">
      <c r="A201" s="117"/>
      <c r="B201" s="117"/>
      <c r="C201" s="117"/>
      <c r="D201" s="117"/>
      <c r="E201" s="117"/>
      <c r="F201" s="117"/>
      <c r="G201" s="187"/>
      <c r="N201" s="196"/>
      <c r="O201" s="195"/>
      <c r="P201" s="195"/>
      <c r="Q201" s="144"/>
      <c r="R201" s="144"/>
      <c r="S201" s="144"/>
      <c r="T201" s="179">
        <v>0.72</v>
      </c>
      <c r="U201" s="144"/>
      <c r="V201" s="144"/>
      <c r="W201" s="144"/>
      <c r="X201" s="144"/>
      <c r="Y201" s="144"/>
      <c r="Z201" s="144"/>
    </row>
    <row r="202" spans="1:26" hidden="1" x14ac:dyDescent="0.2">
      <c r="A202" s="117"/>
      <c r="B202" s="117"/>
      <c r="C202" s="117"/>
      <c r="D202" s="117"/>
      <c r="E202" s="117"/>
      <c r="F202" s="117"/>
      <c r="G202" s="187"/>
      <c r="N202" s="196"/>
      <c r="O202" s="195"/>
      <c r="P202" s="195"/>
      <c r="Q202" s="144"/>
      <c r="R202" s="144"/>
      <c r="S202" s="144"/>
      <c r="T202" s="179">
        <v>0.73</v>
      </c>
      <c r="U202" s="144"/>
      <c r="V202" s="144"/>
      <c r="W202" s="144"/>
      <c r="X202" s="144"/>
      <c r="Y202" s="144"/>
      <c r="Z202" s="144"/>
    </row>
    <row r="203" spans="1:26" hidden="1" x14ac:dyDescent="0.2">
      <c r="A203" s="117"/>
      <c r="B203" s="117"/>
      <c r="C203" s="117"/>
      <c r="D203" s="117"/>
      <c r="E203" s="117"/>
      <c r="F203" s="117"/>
      <c r="G203" s="187"/>
      <c r="N203" s="196"/>
      <c r="O203" s="195"/>
      <c r="P203" s="195"/>
      <c r="Q203" s="144"/>
      <c r="R203" s="144"/>
      <c r="S203" s="144"/>
      <c r="T203" s="179">
        <v>0.74</v>
      </c>
      <c r="U203" s="144"/>
      <c r="V203" s="144"/>
      <c r="W203" s="144"/>
      <c r="X203" s="144"/>
      <c r="Y203" s="144"/>
      <c r="Z203" s="144"/>
    </row>
    <row r="204" spans="1:26" hidden="1" x14ac:dyDescent="0.2">
      <c r="A204" s="117"/>
      <c r="B204" s="117"/>
      <c r="C204" s="117"/>
      <c r="D204" s="117"/>
      <c r="E204" s="117"/>
      <c r="F204" s="117"/>
      <c r="G204" s="187"/>
      <c r="N204" s="196"/>
      <c r="O204" s="195"/>
      <c r="P204" s="195"/>
      <c r="Q204" s="144"/>
      <c r="R204" s="144"/>
      <c r="S204" s="144"/>
      <c r="T204" s="179">
        <v>0.75</v>
      </c>
      <c r="U204" s="144"/>
      <c r="V204" s="144"/>
      <c r="W204" s="144"/>
      <c r="X204" s="144"/>
      <c r="Y204" s="144"/>
      <c r="Z204" s="144"/>
    </row>
    <row r="205" spans="1:26" hidden="1" x14ac:dyDescent="0.2">
      <c r="A205" s="117"/>
      <c r="B205" s="117"/>
      <c r="C205" s="117"/>
      <c r="D205" s="117"/>
      <c r="E205" s="117"/>
      <c r="F205" s="117"/>
      <c r="G205" s="187"/>
      <c r="N205" s="196"/>
      <c r="O205" s="195"/>
      <c r="P205" s="195"/>
      <c r="Q205" s="144"/>
      <c r="R205" s="144"/>
      <c r="S205" s="144"/>
      <c r="T205" s="179">
        <v>0.76</v>
      </c>
      <c r="U205" s="144"/>
      <c r="V205" s="144"/>
      <c r="W205" s="144"/>
      <c r="X205" s="144"/>
      <c r="Y205" s="144"/>
      <c r="Z205" s="144"/>
    </row>
    <row r="206" spans="1:26" hidden="1" x14ac:dyDescent="0.2">
      <c r="A206" s="117"/>
      <c r="B206" s="117"/>
      <c r="C206" s="117"/>
      <c r="D206" s="117"/>
      <c r="E206" s="117"/>
      <c r="F206" s="117"/>
      <c r="G206" s="187"/>
      <c r="N206" s="196"/>
      <c r="O206" s="144"/>
      <c r="P206" s="144"/>
      <c r="Q206" s="144"/>
      <c r="R206" s="144"/>
      <c r="S206" s="144"/>
      <c r="T206" s="179">
        <v>0.77</v>
      </c>
      <c r="U206" s="144"/>
      <c r="V206" s="144"/>
      <c r="W206" s="144"/>
      <c r="X206" s="144"/>
      <c r="Y206" s="144"/>
      <c r="Z206" s="144"/>
    </row>
    <row r="207" spans="1:26" hidden="1" x14ac:dyDescent="0.2">
      <c r="A207" s="117"/>
      <c r="B207" s="117"/>
      <c r="C207" s="117"/>
      <c r="D207" s="117"/>
      <c r="E207" s="117"/>
      <c r="F207" s="117"/>
      <c r="G207" s="187"/>
      <c r="N207" s="196"/>
      <c r="O207" s="144"/>
      <c r="P207" s="144"/>
      <c r="Q207" s="144"/>
      <c r="R207" s="144"/>
      <c r="S207" s="144"/>
      <c r="T207" s="179">
        <v>0.78</v>
      </c>
      <c r="U207" s="144"/>
      <c r="V207" s="144"/>
      <c r="W207" s="144"/>
      <c r="X207" s="144"/>
      <c r="Y207" s="144"/>
      <c r="Z207" s="144"/>
    </row>
    <row r="208" spans="1:26" hidden="1" x14ac:dyDescent="0.2">
      <c r="A208" s="117"/>
      <c r="B208" s="117"/>
      <c r="C208" s="117"/>
      <c r="D208" s="117"/>
      <c r="E208" s="117"/>
      <c r="F208" s="117"/>
      <c r="G208" s="187"/>
      <c r="N208" s="146"/>
      <c r="O208" s="144"/>
      <c r="P208" s="144"/>
      <c r="Q208" s="144"/>
      <c r="R208" s="144"/>
      <c r="S208" s="144"/>
      <c r="T208" s="179">
        <v>0.79</v>
      </c>
      <c r="U208" s="144"/>
      <c r="V208" s="144"/>
      <c r="W208" s="144"/>
      <c r="X208" s="144"/>
      <c r="Y208" s="144"/>
      <c r="Z208" s="144"/>
    </row>
    <row r="209" spans="1:26" hidden="1" x14ac:dyDescent="0.2">
      <c r="A209" s="117"/>
      <c r="B209" s="117"/>
      <c r="C209" s="117"/>
      <c r="D209" s="117"/>
      <c r="E209" s="117"/>
      <c r="F209" s="117"/>
      <c r="G209" s="187"/>
      <c r="N209" s="146"/>
      <c r="O209" s="144"/>
      <c r="P209" s="144"/>
      <c r="Q209" s="144"/>
      <c r="R209" s="144"/>
      <c r="S209" s="144"/>
      <c r="T209" s="179">
        <v>0.8</v>
      </c>
      <c r="U209" s="144"/>
      <c r="V209" s="144"/>
      <c r="W209" s="144"/>
      <c r="X209" s="144"/>
      <c r="Y209" s="144"/>
      <c r="Z209" s="144"/>
    </row>
    <row r="210" spans="1:26" hidden="1" x14ac:dyDescent="0.2">
      <c r="A210" s="117"/>
      <c r="B210" s="117"/>
      <c r="C210" s="117"/>
      <c r="D210" s="117"/>
      <c r="E210" s="117"/>
      <c r="F210" s="117"/>
      <c r="G210" s="187"/>
      <c r="N210" s="146"/>
      <c r="O210" s="144"/>
      <c r="P210" s="144"/>
      <c r="Q210" s="144"/>
      <c r="R210" s="144"/>
      <c r="S210" s="144"/>
      <c r="T210" s="179">
        <v>0.81</v>
      </c>
      <c r="U210" s="144"/>
      <c r="V210" s="144"/>
      <c r="W210" s="144"/>
      <c r="X210" s="144"/>
      <c r="Y210" s="144"/>
      <c r="Z210" s="144"/>
    </row>
    <row r="211" spans="1:26" hidden="1" x14ac:dyDescent="0.2">
      <c r="A211" s="117"/>
      <c r="B211" s="117"/>
      <c r="C211" s="117"/>
      <c r="D211" s="117"/>
      <c r="E211" s="117"/>
      <c r="F211" s="117"/>
      <c r="G211" s="187"/>
      <c r="N211" s="146"/>
      <c r="O211" s="144"/>
      <c r="P211" s="144"/>
      <c r="Q211" s="144"/>
      <c r="R211" s="144"/>
      <c r="S211" s="144"/>
      <c r="T211" s="179">
        <v>0.82</v>
      </c>
      <c r="U211" s="144"/>
      <c r="V211" s="144"/>
      <c r="W211" s="144"/>
      <c r="X211" s="144"/>
      <c r="Y211" s="144"/>
      <c r="Z211" s="144"/>
    </row>
    <row r="212" spans="1:26" hidden="1" x14ac:dyDescent="0.2">
      <c r="A212" s="117"/>
      <c r="B212" s="117"/>
      <c r="C212" s="117"/>
      <c r="D212" s="117"/>
      <c r="E212" s="117"/>
      <c r="F212" s="117"/>
      <c r="G212" s="187"/>
      <c r="N212" s="146"/>
      <c r="O212" s="144"/>
      <c r="P212" s="144"/>
      <c r="Q212" s="144"/>
      <c r="R212" s="144"/>
      <c r="S212" s="144"/>
      <c r="T212" s="179">
        <v>0.83</v>
      </c>
      <c r="U212" s="144"/>
      <c r="V212" s="144"/>
      <c r="W212" s="144"/>
      <c r="X212" s="144"/>
      <c r="Y212" s="144"/>
      <c r="Z212" s="144"/>
    </row>
    <row r="213" spans="1:26" hidden="1" x14ac:dyDescent="0.2">
      <c r="A213" s="117"/>
      <c r="B213" s="117"/>
      <c r="C213" s="117"/>
      <c r="D213" s="117"/>
      <c r="E213" s="117"/>
      <c r="F213" s="117"/>
      <c r="G213" s="187"/>
      <c r="N213" s="146"/>
      <c r="O213" s="144"/>
      <c r="P213" s="144"/>
      <c r="Q213" s="144"/>
      <c r="R213" s="144"/>
      <c r="S213" s="144"/>
      <c r="T213" s="179">
        <v>0.84</v>
      </c>
      <c r="U213" s="144"/>
      <c r="V213" s="144"/>
      <c r="W213" s="144"/>
      <c r="X213" s="144"/>
      <c r="Y213" s="144"/>
      <c r="Z213" s="144"/>
    </row>
    <row r="214" spans="1:26" hidden="1" x14ac:dyDescent="0.2">
      <c r="A214" s="117"/>
      <c r="B214" s="117"/>
      <c r="C214" s="117"/>
      <c r="D214" s="117"/>
      <c r="E214" s="117"/>
      <c r="F214" s="117"/>
      <c r="G214" s="187"/>
      <c r="N214" s="146"/>
      <c r="O214" s="144"/>
      <c r="P214" s="144"/>
      <c r="Q214" s="144"/>
      <c r="R214" s="144"/>
      <c r="S214" s="144"/>
      <c r="T214" s="179">
        <v>0.85</v>
      </c>
      <c r="U214" s="144"/>
      <c r="V214" s="144"/>
      <c r="W214" s="144"/>
      <c r="X214" s="144"/>
      <c r="Y214" s="144"/>
      <c r="Z214" s="144"/>
    </row>
    <row r="215" spans="1:26" hidden="1" x14ac:dyDescent="0.2">
      <c r="A215" s="117"/>
      <c r="B215" s="117"/>
      <c r="C215" s="117"/>
      <c r="D215" s="117"/>
      <c r="E215" s="117"/>
      <c r="F215" s="117"/>
      <c r="G215" s="187"/>
      <c r="N215" s="146"/>
      <c r="O215" s="144"/>
      <c r="P215" s="144"/>
      <c r="Q215" s="144"/>
      <c r="R215" s="144"/>
      <c r="S215" s="144"/>
      <c r="T215" s="179">
        <v>0.86</v>
      </c>
      <c r="U215" s="144"/>
      <c r="V215" s="144"/>
      <c r="W215" s="144"/>
      <c r="X215" s="144"/>
      <c r="Y215" s="144"/>
      <c r="Z215" s="144"/>
    </row>
    <row r="216" spans="1:26" hidden="1" x14ac:dyDescent="0.2">
      <c r="A216" s="117"/>
      <c r="B216" s="117"/>
      <c r="C216" s="117"/>
      <c r="D216" s="117"/>
      <c r="E216" s="117"/>
      <c r="F216" s="117"/>
      <c r="G216" s="187"/>
      <c r="N216" s="146"/>
      <c r="O216" s="144"/>
      <c r="P216" s="144"/>
      <c r="Q216" s="144"/>
      <c r="R216" s="144"/>
      <c r="S216" s="144"/>
      <c r="T216" s="179">
        <v>0.87</v>
      </c>
      <c r="U216" s="144"/>
      <c r="V216" s="144"/>
      <c r="W216" s="144"/>
      <c r="X216" s="144"/>
      <c r="Y216" s="144"/>
      <c r="Z216" s="144"/>
    </row>
    <row r="217" spans="1:26" hidden="1" x14ac:dyDescent="0.2">
      <c r="A217" s="117"/>
      <c r="B217" s="117"/>
      <c r="C217" s="117"/>
      <c r="D217" s="117"/>
      <c r="E217" s="117"/>
      <c r="F217" s="117"/>
      <c r="G217" s="187"/>
      <c r="N217" s="146"/>
      <c r="O217" s="144"/>
      <c r="P217" s="144"/>
      <c r="Q217" s="144"/>
      <c r="R217" s="144"/>
      <c r="S217" s="144"/>
      <c r="T217" s="179">
        <v>0.88</v>
      </c>
      <c r="U217" s="144"/>
      <c r="V217" s="144"/>
      <c r="W217" s="144"/>
      <c r="X217" s="144"/>
      <c r="Y217" s="144"/>
      <c r="Z217" s="144"/>
    </row>
    <row r="218" spans="1:26" hidden="1" x14ac:dyDescent="0.2">
      <c r="A218" s="117"/>
      <c r="B218" s="117"/>
      <c r="C218" s="117"/>
      <c r="D218" s="117"/>
      <c r="E218" s="117"/>
      <c r="F218" s="117"/>
      <c r="G218" s="187"/>
      <c r="N218" s="146"/>
      <c r="O218" s="144"/>
      <c r="P218" s="144"/>
      <c r="Q218" s="144"/>
      <c r="R218" s="144"/>
      <c r="S218" s="144"/>
      <c r="T218" s="179">
        <v>0.89</v>
      </c>
      <c r="U218" s="144"/>
      <c r="V218" s="144"/>
      <c r="W218" s="144"/>
      <c r="X218" s="144"/>
      <c r="Y218" s="144"/>
      <c r="Z218" s="144"/>
    </row>
    <row r="219" spans="1:26" hidden="1" x14ac:dyDescent="0.2">
      <c r="A219" s="117"/>
      <c r="B219" s="117"/>
      <c r="C219" s="117"/>
      <c r="D219" s="117"/>
      <c r="E219" s="117"/>
      <c r="F219" s="117"/>
      <c r="G219" s="187"/>
      <c r="N219" s="146"/>
      <c r="O219" s="144"/>
      <c r="P219" s="144"/>
      <c r="Q219" s="144"/>
      <c r="R219" s="144"/>
      <c r="S219" s="144"/>
      <c r="T219" s="179">
        <v>0.9</v>
      </c>
      <c r="U219" s="144"/>
      <c r="V219" s="144"/>
      <c r="W219" s="144"/>
      <c r="X219" s="144"/>
      <c r="Y219" s="144"/>
      <c r="Z219" s="144"/>
    </row>
    <row r="220" spans="1:26" hidden="1" x14ac:dyDescent="0.2">
      <c r="A220" s="117"/>
      <c r="B220" s="117"/>
      <c r="C220" s="117"/>
      <c r="D220" s="117"/>
      <c r="E220" s="117"/>
      <c r="F220" s="117"/>
      <c r="G220" s="187"/>
      <c r="N220" s="146"/>
      <c r="O220" s="144"/>
      <c r="P220" s="144"/>
      <c r="Q220" s="144"/>
      <c r="R220" s="144"/>
      <c r="S220" s="144"/>
      <c r="T220" s="179">
        <v>0.91</v>
      </c>
      <c r="U220" s="144"/>
      <c r="V220" s="144"/>
      <c r="W220" s="144"/>
      <c r="X220" s="144"/>
      <c r="Y220" s="144"/>
      <c r="Z220" s="144"/>
    </row>
    <row r="221" spans="1:26" hidden="1" x14ac:dyDescent="0.2">
      <c r="A221" s="117"/>
      <c r="B221" s="117"/>
      <c r="C221" s="117"/>
      <c r="D221" s="117"/>
      <c r="E221" s="117"/>
      <c r="F221" s="117"/>
      <c r="G221" s="187"/>
      <c r="N221" s="146"/>
      <c r="O221" s="144"/>
      <c r="P221" s="144"/>
      <c r="Q221" s="144"/>
      <c r="R221" s="144"/>
      <c r="S221" s="144"/>
      <c r="T221" s="179">
        <v>0.92</v>
      </c>
      <c r="U221" s="144"/>
      <c r="V221" s="144"/>
      <c r="W221" s="144"/>
      <c r="X221" s="144"/>
      <c r="Y221" s="144"/>
      <c r="Z221" s="144"/>
    </row>
    <row r="222" spans="1:26" hidden="1" x14ac:dyDescent="0.2">
      <c r="A222" s="117"/>
      <c r="B222" s="117"/>
      <c r="C222" s="117"/>
      <c r="D222" s="117"/>
      <c r="E222" s="117"/>
      <c r="F222" s="117"/>
      <c r="G222" s="187"/>
      <c r="N222" s="146"/>
      <c r="O222" s="144"/>
      <c r="P222" s="144"/>
      <c r="Q222" s="144"/>
      <c r="R222" s="144"/>
      <c r="S222" s="144"/>
      <c r="T222" s="179">
        <v>0.93</v>
      </c>
      <c r="U222" s="144"/>
      <c r="V222" s="144"/>
      <c r="W222" s="144"/>
      <c r="X222" s="144"/>
      <c r="Y222" s="144"/>
      <c r="Z222" s="144"/>
    </row>
    <row r="223" spans="1:26" hidden="1" x14ac:dyDescent="0.2">
      <c r="A223" s="117"/>
      <c r="B223" s="117"/>
      <c r="C223" s="117"/>
      <c r="D223" s="117"/>
      <c r="E223" s="117"/>
      <c r="F223" s="117"/>
      <c r="G223" s="187"/>
      <c r="N223" s="146"/>
      <c r="O223" s="144"/>
      <c r="P223" s="144"/>
      <c r="Q223" s="144"/>
      <c r="R223" s="144"/>
      <c r="S223" s="144"/>
      <c r="T223" s="179">
        <v>0.94</v>
      </c>
      <c r="U223" s="144"/>
      <c r="V223" s="144"/>
      <c r="W223" s="144"/>
      <c r="X223" s="144"/>
      <c r="Y223" s="144"/>
      <c r="Z223" s="144"/>
    </row>
    <row r="224" spans="1:26" hidden="1" x14ac:dyDescent="0.2">
      <c r="A224" s="117"/>
      <c r="B224" s="117"/>
      <c r="C224" s="117"/>
      <c r="D224" s="117"/>
      <c r="E224" s="117"/>
      <c r="F224" s="117"/>
      <c r="G224" s="187"/>
      <c r="N224" s="146"/>
      <c r="O224" s="144"/>
      <c r="P224" s="144"/>
      <c r="Q224" s="144"/>
      <c r="R224" s="144"/>
      <c r="S224" s="144"/>
      <c r="T224" s="179">
        <v>0.95</v>
      </c>
      <c r="U224" s="144"/>
      <c r="V224" s="144"/>
      <c r="W224" s="144"/>
      <c r="X224" s="144"/>
      <c r="Y224" s="144"/>
      <c r="Z224" s="144"/>
    </row>
    <row r="225" spans="1:26" hidden="1" x14ac:dyDescent="0.2">
      <c r="A225" s="117"/>
      <c r="B225" s="117"/>
      <c r="C225" s="117"/>
      <c r="D225" s="117"/>
      <c r="E225" s="117"/>
      <c r="F225" s="117"/>
      <c r="G225" s="187"/>
      <c r="N225" s="146"/>
      <c r="O225" s="144"/>
      <c r="P225" s="144"/>
      <c r="Q225" s="144"/>
      <c r="R225" s="144"/>
      <c r="S225" s="144"/>
      <c r="T225" s="179">
        <v>0.96</v>
      </c>
      <c r="U225" s="144"/>
      <c r="V225" s="144"/>
      <c r="W225" s="144"/>
      <c r="X225" s="144"/>
      <c r="Y225" s="144"/>
      <c r="Z225" s="144"/>
    </row>
    <row r="226" spans="1:26" hidden="1" x14ac:dyDescent="0.2">
      <c r="A226" s="117"/>
      <c r="B226" s="117"/>
      <c r="C226" s="117"/>
      <c r="D226" s="117"/>
      <c r="E226" s="117"/>
      <c r="F226" s="117"/>
      <c r="G226" s="187"/>
      <c r="N226" s="146"/>
      <c r="O226" s="144"/>
      <c r="P226" s="144"/>
      <c r="Q226" s="144"/>
      <c r="R226" s="144"/>
      <c r="S226" s="144"/>
      <c r="T226" s="179">
        <v>0.97</v>
      </c>
      <c r="U226" s="144"/>
      <c r="V226" s="144"/>
      <c r="W226" s="144"/>
      <c r="X226" s="144"/>
      <c r="Y226" s="144"/>
      <c r="Z226" s="144"/>
    </row>
    <row r="227" spans="1:26" hidden="1" x14ac:dyDescent="0.2">
      <c r="A227" s="117"/>
      <c r="B227" s="117"/>
      <c r="C227" s="117"/>
      <c r="D227" s="117"/>
      <c r="E227" s="117"/>
      <c r="F227" s="117"/>
      <c r="G227" s="187"/>
      <c r="N227" s="146"/>
      <c r="O227" s="144"/>
      <c r="P227" s="144"/>
      <c r="Q227" s="144"/>
      <c r="R227" s="144"/>
      <c r="S227" s="144"/>
      <c r="T227" s="179">
        <v>0.98</v>
      </c>
      <c r="U227" s="144"/>
      <c r="V227" s="144"/>
      <c r="W227" s="144"/>
      <c r="X227" s="144"/>
      <c r="Y227" s="144"/>
      <c r="Z227" s="144"/>
    </row>
    <row r="228" spans="1:26" hidden="1" x14ac:dyDescent="0.2">
      <c r="A228" s="117"/>
      <c r="B228" s="117"/>
      <c r="C228" s="117"/>
      <c r="D228" s="117"/>
      <c r="E228" s="117"/>
      <c r="F228" s="117"/>
      <c r="G228" s="187"/>
      <c r="N228" s="146"/>
      <c r="O228" s="144"/>
      <c r="P228" s="144"/>
      <c r="Q228" s="144"/>
      <c r="R228" s="144"/>
      <c r="S228" s="144"/>
      <c r="T228" s="179">
        <v>0.99</v>
      </c>
      <c r="U228" s="144"/>
      <c r="V228" s="144"/>
      <c r="W228" s="144"/>
      <c r="X228" s="144"/>
      <c r="Y228" s="144"/>
      <c r="Z228" s="144"/>
    </row>
    <row r="229" spans="1:26" hidden="1" x14ac:dyDescent="0.2">
      <c r="A229" s="117"/>
      <c r="B229" s="117"/>
      <c r="C229" s="117"/>
      <c r="D229" s="117"/>
      <c r="E229" s="117"/>
      <c r="F229" s="117"/>
      <c r="G229" s="187"/>
      <c r="N229" s="146"/>
      <c r="O229" s="144"/>
      <c r="P229" s="144"/>
      <c r="Q229" s="144"/>
      <c r="R229" s="144"/>
      <c r="S229" s="144"/>
      <c r="T229" s="179">
        <v>1</v>
      </c>
      <c r="U229" s="144"/>
      <c r="V229" s="144"/>
      <c r="W229" s="144"/>
      <c r="X229" s="144"/>
      <c r="Y229" s="144"/>
      <c r="Z229" s="144"/>
    </row>
    <row r="230" spans="1:26" hidden="1" x14ac:dyDescent="0.2">
      <c r="A230" s="117"/>
      <c r="B230" s="117"/>
      <c r="C230" s="117"/>
      <c r="D230" s="117"/>
      <c r="E230" s="117"/>
      <c r="F230" s="117"/>
      <c r="G230" s="187"/>
      <c r="N230" s="146"/>
      <c r="O230" s="144"/>
      <c r="P230" s="144"/>
      <c r="Q230" s="144"/>
      <c r="R230" s="144"/>
      <c r="S230" s="144"/>
      <c r="T230" s="144"/>
      <c r="U230" s="144"/>
      <c r="V230" s="144"/>
      <c r="W230" s="144"/>
      <c r="X230" s="144"/>
      <c r="Y230" s="144"/>
      <c r="Z230" s="144"/>
    </row>
    <row r="231" spans="1:26" hidden="1" x14ac:dyDescent="0.2">
      <c r="A231" s="117"/>
      <c r="B231" s="117"/>
      <c r="C231" s="117"/>
      <c r="D231" s="117"/>
      <c r="E231" s="117"/>
      <c r="F231" s="117"/>
      <c r="G231" s="187"/>
      <c r="N231" s="146"/>
      <c r="O231" s="144"/>
      <c r="P231" s="144"/>
      <c r="Q231" s="144"/>
      <c r="R231" s="144"/>
      <c r="S231" s="144"/>
      <c r="T231" s="144"/>
      <c r="U231" s="144"/>
      <c r="V231" s="144"/>
      <c r="W231" s="144"/>
      <c r="X231" s="144"/>
      <c r="Y231" s="144"/>
      <c r="Z231" s="144"/>
    </row>
    <row r="232" spans="1:26" hidden="1" x14ac:dyDescent="0.2">
      <c r="A232" s="117"/>
      <c r="B232" s="117"/>
      <c r="C232" s="117"/>
      <c r="D232" s="117"/>
      <c r="E232" s="117"/>
      <c r="F232" s="117"/>
      <c r="G232" s="187"/>
      <c r="N232" s="146"/>
      <c r="O232" s="144"/>
      <c r="P232" s="144"/>
      <c r="Q232" s="144"/>
      <c r="R232" s="144"/>
      <c r="S232" s="144"/>
      <c r="T232" s="144"/>
      <c r="U232" s="144"/>
      <c r="V232" s="144"/>
      <c r="W232" s="144"/>
      <c r="X232" s="144"/>
      <c r="Y232" s="144"/>
      <c r="Z232" s="144"/>
    </row>
    <row r="233" spans="1:26" hidden="1" x14ac:dyDescent="0.2">
      <c r="A233" s="117"/>
      <c r="B233" s="117"/>
      <c r="C233" s="117"/>
      <c r="D233" s="117"/>
      <c r="E233" s="117"/>
      <c r="F233" s="117"/>
      <c r="G233" s="187"/>
      <c r="N233" s="146"/>
      <c r="O233" s="144"/>
      <c r="P233" s="144"/>
      <c r="Q233" s="144"/>
      <c r="R233" s="144"/>
      <c r="S233" s="144"/>
      <c r="T233" s="144"/>
      <c r="U233" s="144"/>
      <c r="V233" s="144"/>
      <c r="W233" s="144"/>
      <c r="X233" s="144"/>
      <c r="Y233" s="144"/>
      <c r="Z233" s="144"/>
    </row>
    <row r="234" spans="1:26" hidden="1" x14ac:dyDescent="0.2">
      <c r="A234" s="117"/>
      <c r="B234" s="117"/>
      <c r="C234" s="117"/>
      <c r="D234" s="117"/>
      <c r="E234" s="117"/>
      <c r="F234" s="117"/>
      <c r="G234" s="187"/>
      <c r="N234" s="146"/>
      <c r="O234" s="144"/>
      <c r="P234" s="144"/>
      <c r="Q234" s="144"/>
      <c r="R234" s="144"/>
      <c r="S234" s="144"/>
      <c r="T234" s="144"/>
      <c r="U234" s="144"/>
      <c r="V234" s="144"/>
      <c r="W234" s="144"/>
      <c r="X234" s="144"/>
      <c r="Y234" s="144"/>
      <c r="Z234" s="144"/>
    </row>
    <row r="235" spans="1:26" hidden="1" x14ac:dyDescent="0.2">
      <c r="A235" s="117"/>
      <c r="B235" s="117"/>
      <c r="C235" s="117"/>
      <c r="D235" s="117"/>
      <c r="E235" s="117"/>
      <c r="F235" s="117"/>
      <c r="G235" s="187"/>
      <c r="N235" s="146"/>
      <c r="O235" s="144"/>
      <c r="P235" s="144"/>
      <c r="Q235" s="144"/>
      <c r="R235" s="144"/>
      <c r="S235" s="144"/>
      <c r="T235" s="144"/>
      <c r="U235" s="144"/>
      <c r="V235" s="144"/>
      <c r="W235" s="144"/>
      <c r="X235" s="144"/>
      <c r="Y235" s="144"/>
      <c r="Z235" s="144"/>
    </row>
    <row r="236" spans="1:26" hidden="1" x14ac:dyDescent="0.2">
      <c r="A236" s="117"/>
      <c r="B236" s="117"/>
      <c r="C236" s="117"/>
      <c r="D236" s="117"/>
      <c r="E236" s="117"/>
      <c r="F236" s="117"/>
      <c r="G236" s="187"/>
      <c r="N236" s="146"/>
      <c r="O236" s="144"/>
      <c r="P236" s="144"/>
      <c r="Q236" s="144"/>
      <c r="R236" s="144"/>
      <c r="S236" s="144"/>
      <c r="T236" s="144"/>
      <c r="U236" s="144"/>
      <c r="V236" s="144"/>
      <c r="W236" s="144"/>
      <c r="X236" s="144"/>
      <c r="Y236" s="144"/>
      <c r="Z236" s="144"/>
    </row>
    <row r="237" spans="1:26" hidden="1" x14ac:dyDescent="0.2">
      <c r="A237" s="117"/>
      <c r="B237" s="117"/>
      <c r="C237" s="117"/>
      <c r="D237" s="117"/>
      <c r="E237" s="117"/>
      <c r="F237" s="117"/>
      <c r="G237" s="187"/>
      <c r="N237" s="146"/>
      <c r="O237" s="144"/>
      <c r="P237" s="144"/>
      <c r="Q237" s="144"/>
      <c r="R237" s="144"/>
      <c r="S237" s="144"/>
      <c r="T237" s="144"/>
      <c r="U237" s="144"/>
      <c r="V237" s="144"/>
      <c r="W237" s="144"/>
      <c r="X237" s="144"/>
      <c r="Y237" s="144"/>
      <c r="Z237" s="144"/>
    </row>
    <row r="238" spans="1:26" hidden="1" x14ac:dyDescent="0.2">
      <c r="A238" s="117"/>
      <c r="B238" s="117"/>
      <c r="C238" s="117"/>
      <c r="D238" s="117"/>
      <c r="E238" s="117"/>
      <c r="F238" s="117"/>
      <c r="G238" s="187"/>
      <c r="N238" s="146"/>
      <c r="O238" s="144"/>
      <c r="P238" s="144"/>
      <c r="Q238" s="144"/>
      <c r="R238" s="144"/>
      <c r="S238" s="144"/>
      <c r="T238" s="144"/>
      <c r="U238" s="144"/>
      <c r="V238" s="144"/>
      <c r="W238" s="144"/>
      <c r="X238" s="144"/>
      <c r="Z238" s="144"/>
    </row>
    <row r="239" spans="1:26" hidden="1" x14ac:dyDescent="0.2">
      <c r="A239" s="117"/>
      <c r="B239" s="117"/>
      <c r="C239" s="117"/>
      <c r="D239" s="117"/>
      <c r="E239" s="117"/>
      <c r="F239" s="117"/>
      <c r="G239" s="187"/>
      <c r="N239" s="146"/>
      <c r="O239" s="144"/>
      <c r="P239" s="144"/>
      <c r="Q239" s="144"/>
      <c r="R239" s="144"/>
      <c r="S239" s="144"/>
      <c r="T239" s="144"/>
      <c r="U239" s="144"/>
      <c r="V239" s="144"/>
      <c r="W239" s="144"/>
      <c r="X239" s="144"/>
      <c r="Z239" s="144"/>
    </row>
    <row r="240" spans="1:26" hidden="1" x14ac:dyDescent="0.2">
      <c r="A240" s="117"/>
      <c r="B240" s="117"/>
      <c r="C240" s="117"/>
      <c r="D240" s="117"/>
      <c r="E240" s="117"/>
      <c r="F240" s="117"/>
      <c r="G240" s="187"/>
      <c r="N240" s="146"/>
      <c r="O240" s="144"/>
      <c r="P240" s="144"/>
      <c r="Q240" s="144"/>
      <c r="R240" s="144"/>
      <c r="S240" s="144"/>
      <c r="T240" s="144"/>
      <c r="U240" s="144"/>
      <c r="V240" s="144"/>
      <c r="W240" s="144"/>
      <c r="X240" s="144"/>
      <c r="Z240" s="144"/>
    </row>
    <row r="241" spans="1:26" hidden="1" x14ac:dyDescent="0.2">
      <c r="A241" s="117"/>
      <c r="B241" s="117"/>
      <c r="C241" s="117"/>
      <c r="D241" s="117"/>
      <c r="E241" s="117"/>
      <c r="F241" s="117"/>
      <c r="G241" s="187"/>
      <c r="N241" s="146"/>
      <c r="O241" s="144"/>
      <c r="P241" s="144"/>
      <c r="Q241" s="144"/>
      <c r="R241" s="144"/>
      <c r="S241" s="144"/>
      <c r="T241" s="144"/>
      <c r="U241" s="144"/>
      <c r="V241" s="144"/>
      <c r="W241" s="144"/>
      <c r="X241" s="144"/>
      <c r="Z241" s="144"/>
    </row>
    <row r="242" spans="1:26" hidden="1" x14ac:dyDescent="0.2">
      <c r="A242" s="117"/>
      <c r="B242" s="117"/>
      <c r="C242" s="117"/>
      <c r="D242" s="117"/>
      <c r="E242" s="117"/>
      <c r="F242" s="117"/>
      <c r="G242" s="187"/>
      <c r="N242" s="146"/>
      <c r="O242" s="144"/>
      <c r="P242" s="144"/>
      <c r="Q242" s="144"/>
      <c r="R242" s="144"/>
      <c r="S242" s="144"/>
      <c r="T242" s="144"/>
      <c r="U242" s="144"/>
      <c r="V242" s="144"/>
      <c r="W242" s="144"/>
      <c r="X242" s="144"/>
      <c r="Z242" s="144"/>
    </row>
    <row r="243" spans="1:26" hidden="1" x14ac:dyDescent="0.2">
      <c r="A243" s="117"/>
      <c r="B243" s="117"/>
      <c r="C243" s="117"/>
      <c r="D243" s="117"/>
      <c r="E243" s="117"/>
      <c r="F243" s="117"/>
      <c r="G243" s="187"/>
      <c r="N243" s="146"/>
      <c r="O243" s="144"/>
      <c r="P243" s="144"/>
      <c r="Q243" s="144"/>
      <c r="R243" s="144"/>
      <c r="S243" s="144"/>
      <c r="T243" s="144"/>
      <c r="U243" s="144"/>
      <c r="V243" s="144"/>
      <c r="W243" s="144"/>
      <c r="X243" s="144"/>
      <c r="Z243" s="144"/>
    </row>
    <row r="244" spans="1:26" hidden="1" x14ac:dyDescent="0.2">
      <c r="A244" s="117"/>
      <c r="B244" s="117"/>
      <c r="C244" s="117"/>
      <c r="D244" s="117"/>
      <c r="E244" s="117"/>
      <c r="F244" s="117"/>
      <c r="G244" s="187"/>
      <c r="N244" s="146"/>
      <c r="O244" s="144"/>
      <c r="P244" s="144"/>
      <c r="Q244" s="144"/>
      <c r="R244" s="144"/>
      <c r="S244" s="144"/>
      <c r="T244" s="144"/>
      <c r="U244" s="144"/>
      <c r="V244" s="144"/>
      <c r="W244" s="144"/>
      <c r="X244" s="144"/>
      <c r="Z244" s="144"/>
    </row>
    <row r="245" spans="1:26" hidden="1" x14ac:dyDescent="0.2">
      <c r="A245" s="117"/>
      <c r="B245" s="117"/>
      <c r="C245" s="117"/>
      <c r="D245" s="117"/>
      <c r="E245" s="117"/>
      <c r="F245" s="117"/>
      <c r="G245" s="187"/>
      <c r="N245" s="146"/>
      <c r="O245" s="144"/>
      <c r="P245" s="144"/>
      <c r="Q245" s="144"/>
      <c r="R245" s="144"/>
      <c r="S245" s="144"/>
      <c r="T245" s="144"/>
      <c r="U245" s="144"/>
      <c r="V245" s="144"/>
      <c r="W245" s="144"/>
      <c r="X245" s="144"/>
      <c r="Z245" s="144"/>
    </row>
    <row r="246" spans="1:26" hidden="1" x14ac:dyDescent="0.2">
      <c r="A246" s="117"/>
      <c r="B246" s="117"/>
      <c r="C246" s="117"/>
      <c r="D246" s="117"/>
      <c r="E246" s="117"/>
      <c r="F246" s="117"/>
      <c r="G246" s="187"/>
      <c r="N246" s="146"/>
      <c r="O246" s="144"/>
      <c r="P246" s="144"/>
      <c r="Q246" s="144"/>
      <c r="R246" s="144"/>
      <c r="S246" s="144"/>
      <c r="T246" s="144"/>
      <c r="U246" s="144"/>
      <c r="V246" s="144"/>
      <c r="W246" s="144"/>
      <c r="X246" s="144"/>
      <c r="Z246" s="144"/>
    </row>
    <row r="247" spans="1:26" hidden="1" x14ac:dyDescent="0.2">
      <c r="A247" s="117"/>
      <c r="B247" s="117"/>
      <c r="C247" s="117"/>
      <c r="D247" s="117"/>
      <c r="E247" s="117"/>
      <c r="F247" s="117"/>
      <c r="G247" s="187"/>
      <c r="N247" s="146"/>
      <c r="O247" s="144"/>
      <c r="P247" s="144"/>
      <c r="Q247" s="144"/>
      <c r="R247" s="144"/>
      <c r="S247" s="144"/>
      <c r="T247" s="144"/>
      <c r="U247" s="144"/>
      <c r="V247" s="144"/>
      <c r="W247" s="144"/>
      <c r="X247" s="144"/>
      <c r="Z247" s="144"/>
    </row>
    <row r="248" spans="1:26" hidden="1" x14ac:dyDescent="0.2">
      <c r="A248" s="117"/>
      <c r="B248" s="117"/>
      <c r="C248" s="117"/>
      <c r="D248" s="117"/>
      <c r="E248" s="117"/>
      <c r="F248" s="117"/>
      <c r="G248" s="187"/>
      <c r="N248" s="146"/>
      <c r="O248" s="144"/>
      <c r="P248" s="144"/>
      <c r="Q248" s="144"/>
      <c r="R248" s="144"/>
      <c r="S248" s="144"/>
      <c r="T248" s="144"/>
      <c r="U248" s="144"/>
      <c r="V248" s="144"/>
      <c r="W248" s="144"/>
      <c r="X248" s="144"/>
      <c r="Z248" s="144"/>
    </row>
    <row r="249" spans="1:26" hidden="1" x14ac:dyDescent="0.2">
      <c r="A249" s="117"/>
      <c r="B249" s="117"/>
      <c r="C249" s="117"/>
      <c r="D249" s="117"/>
      <c r="E249" s="117"/>
      <c r="F249" s="117"/>
      <c r="G249" s="187"/>
      <c r="N249" s="146"/>
      <c r="O249" s="144"/>
      <c r="P249" s="144"/>
      <c r="Q249" s="144"/>
      <c r="R249" s="144"/>
      <c r="S249" s="144"/>
      <c r="T249" s="144"/>
      <c r="U249" s="144"/>
      <c r="V249" s="144"/>
      <c r="W249" s="144"/>
      <c r="X249" s="144"/>
      <c r="Z249" s="144"/>
    </row>
    <row r="250" spans="1:26" hidden="1" x14ac:dyDescent="0.2">
      <c r="A250" s="117"/>
      <c r="B250" s="117"/>
      <c r="C250" s="117"/>
      <c r="D250" s="117"/>
      <c r="E250" s="117"/>
      <c r="F250" s="117"/>
      <c r="G250" s="187"/>
      <c r="N250" s="146"/>
      <c r="O250" s="144"/>
      <c r="P250" s="144"/>
      <c r="Q250" s="144"/>
      <c r="R250" s="144"/>
      <c r="S250" s="144"/>
      <c r="T250" s="144"/>
      <c r="U250" s="144"/>
      <c r="V250" s="144"/>
      <c r="W250" s="144"/>
      <c r="X250" s="144"/>
      <c r="Z250" s="144"/>
    </row>
    <row r="251" spans="1:26" hidden="1" x14ac:dyDescent="0.2">
      <c r="A251" s="117"/>
      <c r="B251" s="117"/>
      <c r="C251" s="117"/>
      <c r="D251" s="117"/>
      <c r="E251" s="117"/>
      <c r="F251" s="117"/>
      <c r="G251" s="187"/>
      <c r="N251" s="146"/>
      <c r="O251" s="144"/>
      <c r="P251" s="144"/>
      <c r="Q251" s="144"/>
      <c r="R251" s="144"/>
      <c r="S251" s="144"/>
      <c r="T251" s="144"/>
      <c r="U251" s="144"/>
      <c r="V251" s="144"/>
      <c r="W251" s="144"/>
      <c r="X251" s="144"/>
      <c r="Z251" s="144"/>
    </row>
    <row r="252" spans="1:26" hidden="1" x14ac:dyDescent="0.2">
      <c r="A252" s="117"/>
      <c r="B252" s="117"/>
      <c r="C252" s="117"/>
      <c r="D252" s="117"/>
      <c r="E252" s="117"/>
      <c r="F252" s="117"/>
      <c r="G252" s="187"/>
      <c r="N252" s="146"/>
      <c r="O252" s="144"/>
      <c r="P252" s="144"/>
      <c r="Q252" s="144"/>
      <c r="R252" s="144"/>
      <c r="S252" s="144"/>
      <c r="T252" s="144"/>
      <c r="U252" s="144"/>
      <c r="V252" s="144"/>
      <c r="W252" s="144"/>
      <c r="X252" s="144"/>
      <c r="Z252" s="144"/>
    </row>
    <row r="253" spans="1:26" hidden="1" x14ac:dyDescent="0.2">
      <c r="A253" s="117"/>
      <c r="B253" s="117"/>
      <c r="C253" s="117"/>
      <c r="D253" s="117"/>
      <c r="E253" s="117"/>
      <c r="F253" s="117"/>
      <c r="G253" s="187"/>
      <c r="N253" s="146"/>
      <c r="O253" s="144"/>
      <c r="P253" s="144"/>
      <c r="Q253" s="144"/>
      <c r="R253" s="144"/>
      <c r="S253" s="144"/>
      <c r="T253" s="144"/>
      <c r="U253" s="144"/>
      <c r="V253" s="144"/>
      <c r="W253" s="144"/>
      <c r="X253" s="144"/>
      <c r="Z253" s="144"/>
    </row>
    <row r="254" spans="1:26" hidden="1" x14ac:dyDescent="0.2">
      <c r="A254" s="117"/>
      <c r="B254" s="117"/>
      <c r="C254" s="117"/>
      <c r="D254" s="117"/>
      <c r="E254" s="117"/>
      <c r="F254" s="117"/>
      <c r="G254" s="187"/>
      <c r="N254" s="146"/>
      <c r="O254" s="144"/>
      <c r="P254" s="144"/>
      <c r="Q254" s="144"/>
      <c r="R254" s="144"/>
      <c r="S254" s="144"/>
      <c r="T254" s="144"/>
      <c r="U254" s="144"/>
      <c r="V254" s="144"/>
      <c r="W254" s="144"/>
      <c r="X254" s="144"/>
      <c r="Z254" s="144"/>
    </row>
    <row r="255" spans="1:26" hidden="1" x14ac:dyDescent="0.2">
      <c r="A255" s="117"/>
      <c r="B255" s="117"/>
      <c r="C255" s="117"/>
      <c r="D255" s="117"/>
      <c r="E255" s="117"/>
      <c r="F255" s="117"/>
      <c r="G255" s="187"/>
      <c r="N255" s="146"/>
      <c r="O255" s="144"/>
      <c r="P255" s="144"/>
      <c r="Q255" s="144"/>
      <c r="R255" s="144"/>
      <c r="S255" s="144"/>
      <c r="T255" s="144"/>
      <c r="U255" s="144"/>
      <c r="V255" s="144"/>
      <c r="W255" s="144"/>
      <c r="X255" s="144"/>
      <c r="Z255" s="144"/>
    </row>
    <row r="256" spans="1:26" hidden="1" x14ac:dyDescent="0.2">
      <c r="A256" s="117"/>
      <c r="B256" s="117"/>
      <c r="C256" s="117"/>
      <c r="D256" s="117"/>
      <c r="E256" s="117"/>
      <c r="F256" s="117"/>
      <c r="G256" s="187"/>
      <c r="U256" s="144"/>
      <c r="V256" s="144"/>
      <c r="W256" s="144"/>
      <c r="X256" s="144"/>
      <c r="Z256" s="144"/>
    </row>
    <row r="257" spans="1:26" hidden="1" x14ac:dyDescent="0.2">
      <c r="A257" s="117"/>
      <c r="B257" s="117"/>
      <c r="C257" s="117"/>
      <c r="D257" s="117"/>
      <c r="E257" s="117"/>
      <c r="F257" s="117"/>
      <c r="G257" s="187"/>
      <c r="U257" s="144"/>
      <c r="V257" s="144"/>
      <c r="W257" s="144"/>
      <c r="X257" s="144"/>
      <c r="Z257" s="144"/>
    </row>
    <row r="258" spans="1:26" hidden="1" x14ac:dyDescent="0.2">
      <c r="A258" s="117"/>
      <c r="B258" s="117"/>
      <c r="C258" s="117"/>
      <c r="D258" s="117"/>
      <c r="E258" s="117"/>
      <c r="F258" s="117"/>
      <c r="G258" s="187"/>
      <c r="U258" s="144"/>
      <c r="V258" s="144"/>
      <c r="W258" s="144"/>
      <c r="X258" s="144"/>
      <c r="Z258" s="144"/>
    </row>
    <row r="259" spans="1:26" hidden="1" x14ac:dyDescent="0.2">
      <c r="A259" s="117"/>
      <c r="B259" s="117"/>
      <c r="C259" s="117"/>
      <c r="D259" s="117"/>
      <c r="E259" s="117"/>
      <c r="F259" s="117"/>
      <c r="G259" s="187"/>
    </row>
    <row r="260" spans="1:26" hidden="1" x14ac:dyDescent="0.2">
      <c r="A260" s="117"/>
      <c r="B260" s="117"/>
      <c r="C260" s="117"/>
      <c r="D260" s="117"/>
      <c r="E260" s="117"/>
      <c r="F260" s="117"/>
      <c r="G260" s="187"/>
    </row>
    <row r="261" spans="1:26" hidden="1" x14ac:dyDescent="0.2">
      <c r="A261" s="117"/>
      <c r="B261" s="117"/>
      <c r="C261" s="117"/>
      <c r="D261" s="117"/>
      <c r="E261" s="117"/>
      <c r="F261" s="117"/>
      <c r="G261" s="187"/>
    </row>
    <row r="262" spans="1:26" hidden="1" x14ac:dyDescent="0.2">
      <c r="A262" s="117"/>
      <c r="B262" s="117"/>
      <c r="C262" s="117"/>
      <c r="D262" s="117"/>
      <c r="E262" s="117"/>
      <c r="F262" s="117"/>
      <c r="G262" s="187"/>
    </row>
    <row r="263" spans="1:26" hidden="1" x14ac:dyDescent="0.2">
      <c r="A263" s="117"/>
      <c r="B263" s="117"/>
      <c r="C263" s="117"/>
      <c r="D263" s="117"/>
      <c r="E263" s="117"/>
      <c r="F263" s="117"/>
      <c r="G263" s="187"/>
    </row>
    <row r="264" spans="1:26" hidden="1" x14ac:dyDescent="0.2">
      <c r="A264" s="117"/>
      <c r="B264" s="117"/>
      <c r="C264" s="117"/>
      <c r="D264" s="117"/>
      <c r="E264" s="117"/>
      <c r="F264" s="117"/>
      <c r="G264" s="187"/>
    </row>
    <row r="265" spans="1:26" hidden="1" x14ac:dyDescent="0.2">
      <c r="A265" s="117"/>
      <c r="B265" s="117"/>
      <c r="C265" s="117"/>
      <c r="D265" s="117"/>
      <c r="E265" s="117"/>
      <c r="F265" s="117"/>
      <c r="G265" s="187"/>
    </row>
    <row r="266" spans="1:26" hidden="1" x14ac:dyDescent="0.2">
      <c r="A266" s="117"/>
      <c r="B266" s="117"/>
      <c r="C266" s="117"/>
      <c r="D266" s="117"/>
      <c r="E266" s="117"/>
      <c r="F266" s="117"/>
      <c r="G266" s="187"/>
    </row>
    <row r="267" spans="1:26" hidden="1" x14ac:dyDescent="0.2">
      <c r="A267" s="117"/>
      <c r="B267" s="117"/>
      <c r="C267" s="117"/>
      <c r="D267" s="117"/>
      <c r="E267" s="117"/>
      <c r="F267" s="117"/>
      <c r="G267" s="187"/>
    </row>
    <row r="268" spans="1:26" hidden="1" x14ac:dyDescent="0.2">
      <c r="A268" s="117"/>
      <c r="B268" s="117"/>
      <c r="C268" s="117"/>
      <c r="D268" s="117"/>
      <c r="E268" s="117"/>
      <c r="F268" s="117"/>
      <c r="G268" s="187"/>
    </row>
    <row r="269" spans="1:26" hidden="1" x14ac:dyDescent="0.2">
      <c r="A269" s="117"/>
      <c r="B269" s="117"/>
      <c r="C269" s="117"/>
      <c r="D269" s="117"/>
      <c r="E269" s="117"/>
      <c r="F269" s="117"/>
      <c r="G269" s="187"/>
    </row>
    <row r="270" spans="1:26" hidden="1" x14ac:dyDescent="0.2">
      <c r="A270" s="117"/>
      <c r="B270" s="117"/>
      <c r="C270" s="117"/>
      <c r="D270" s="117"/>
      <c r="E270" s="117"/>
      <c r="F270" s="117"/>
      <c r="G270" s="187"/>
    </row>
    <row r="271" spans="1:26" hidden="1" x14ac:dyDescent="0.2">
      <c r="A271" s="117"/>
      <c r="B271" s="117"/>
      <c r="C271" s="117"/>
      <c r="D271" s="117"/>
      <c r="E271" s="117"/>
      <c r="F271" s="117"/>
      <c r="G271" s="187"/>
    </row>
    <row r="272" spans="1:26" hidden="1" x14ac:dyDescent="0.2">
      <c r="A272" s="117"/>
      <c r="B272" s="117"/>
      <c r="C272" s="117"/>
      <c r="D272" s="117"/>
      <c r="E272" s="117"/>
      <c r="F272" s="117"/>
      <c r="G272" s="187"/>
    </row>
    <row r="273" spans="1:7" hidden="1" x14ac:dyDescent="0.2">
      <c r="A273" s="117"/>
      <c r="B273" s="117"/>
      <c r="C273" s="117"/>
      <c r="D273" s="117"/>
      <c r="E273" s="117"/>
      <c r="F273" s="117"/>
      <c r="G273" s="187"/>
    </row>
    <row r="274" spans="1:7" hidden="1" x14ac:dyDescent="0.2">
      <c r="A274" s="117"/>
      <c r="B274" s="117"/>
      <c r="C274" s="117"/>
      <c r="D274" s="117"/>
      <c r="E274" s="117"/>
      <c r="F274" s="117"/>
      <c r="G274" s="187"/>
    </row>
    <row r="275" spans="1:7" hidden="1" x14ac:dyDescent="0.2">
      <c r="A275" s="117"/>
      <c r="B275" s="117"/>
      <c r="C275" s="117"/>
      <c r="D275" s="117"/>
      <c r="E275" s="117"/>
      <c r="F275" s="117"/>
      <c r="G275" s="187"/>
    </row>
    <row r="276" spans="1:7" hidden="1" x14ac:dyDescent="0.2">
      <c r="A276" s="117"/>
      <c r="B276" s="117"/>
      <c r="C276" s="117"/>
      <c r="D276" s="117"/>
      <c r="E276" s="117"/>
      <c r="F276" s="117"/>
      <c r="G276" s="187"/>
    </row>
    <row r="277" spans="1:7" hidden="1" x14ac:dyDescent="0.2">
      <c r="A277" s="117"/>
      <c r="B277" s="117"/>
      <c r="C277" s="117"/>
      <c r="D277" s="117"/>
      <c r="E277" s="117"/>
      <c r="F277" s="117"/>
      <c r="G277" s="187"/>
    </row>
    <row r="278" spans="1:7" hidden="1" x14ac:dyDescent="0.2">
      <c r="A278" s="117"/>
      <c r="B278" s="117"/>
      <c r="C278" s="117"/>
      <c r="D278" s="117"/>
      <c r="E278" s="117"/>
      <c r="F278" s="117"/>
      <c r="G278" s="187"/>
    </row>
    <row r="279" spans="1:7" hidden="1" x14ac:dyDescent="0.2">
      <c r="A279" s="117"/>
      <c r="B279" s="117"/>
      <c r="C279" s="117"/>
      <c r="D279" s="117"/>
      <c r="E279" s="117"/>
      <c r="F279" s="117"/>
      <c r="G279" s="187"/>
    </row>
    <row r="280" spans="1:7" hidden="1" x14ac:dyDescent="0.2">
      <c r="A280" s="117"/>
      <c r="B280" s="117"/>
      <c r="C280" s="117"/>
      <c r="D280" s="117"/>
      <c r="E280" s="117"/>
      <c r="F280" s="117"/>
      <c r="G280" s="187"/>
    </row>
    <row r="281" spans="1:7" hidden="1" x14ac:dyDescent="0.2">
      <c r="A281" s="117"/>
      <c r="B281" s="117"/>
      <c r="C281" s="117"/>
      <c r="D281" s="117"/>
      <c r="E281" s="117"/>
      <c r="F281" s="117"/>
      <c r="G281" s="187"/>
    </row>
    <row r="282" spans="1:7" hidden="1" x14ac:dyDescent="0.2">
      <c r="A282" s="117"/>
      <c r="B282" s="117"/>
      <c r="C282" s="117"/>
      <c r="D282" s="117"/>
      <c r="E282" s="117"/>
      <c r="F282" s="117"/>
      <c r="G282" s="187"/>
    </row>
  </sheetData>
  <sheetProtection algorithmName="SHA-512" hashValue="ovs8SOs8PpaN58fsd8UG3Ka3xyLWaMDjbzvyg1g9YhYDOJVFpNS1XZ5lsKcYztBGj/qWPhsp5Pnc5l1EpvJcjA==" saltValue="yCLWT7s2zvsgFHnfRFwVaw==" spinCount="100000" sheet="1" objects="1" scenarios="1"/>
  <mergeCells count="26">
    <mergeCell ref="C6:D6"/>
    <mergeCell ref="C8:D8"/>
    <mergeCell ref="C10:D10"/>
    <mergeCell ref="H59:M61"/>
    <mergeCell ref="H56:M57"/>
    <mergeCell ref="C17:E17"/>
    <mergeCell ref="C18:E18"/>
    <mergeCell ref="H15:O16"/>
    <mergeCell ref="C16:E16"/>
    <mergeCell ref="C19:E19"/>
    <mergeCell ref="C13:D13"/>
    <mergeCell ref="J11:M12"/>
    <mergeCell ref="H14:M14"/>
    <mergeCell ref="C20:E20"/>
    <mergeCell ref="H20:O20"/>
    <mergeCell ref="H75:M76"/>
    <mergeCell ref="H34:M36"/>
    <mergeCell ref="C21:E21"/>
    <mergeCell ref="H21:O21"/>
    <mergeCell ref="H28:M30"/>
    <mergeCell ref="B31:B32"/>
    <mergeCell ref="H37:M39"/>
    <mergeCell ref="H22:M22"/>
    <mergeCell ref="B34:B35"/>
    <mergeCell ref="H47:M48"/>
    <mergeCell ref="B37:B38"/>
  </mergeCells>
  <conditionalFormatting sqref="C50:D50 B42:B47 B49:B50">
    <cfRule type="expression" dxfId="573" priority="168" stopIfTrue="1">
      <formula>E42="n/a"</formula>
    </cfRule>
  </conditionalFormatting>
  <conditionalFormatting sqref="G50 C42:C47 C49 N49:N50">
    <cfRule type="expression" dxfId="572" priority="167" stopIfTrue="1">
      <formula>E42="n/a"</formula>
    </cfRule>
  </conditionalFormatting>
  <conditionalFormatting sqref="D49 D42:D47">
    <cfRule type="expression" dxfId="571" priority="166" stopIfTrue="1">
      <formula>E42="n/a"</formula>
    </cfRule>
  </conditionalFormatting>
  <conditionalFormatting sqref="G42:G47 G49">
    <cfRule type="expression" dxfId="570" priority="165" stopIfTrue="1">
      <formula>E42="n/a"</formula>
    </cfRule>
  </conditionalFormatting>
  <conditionalFormatting sqref="F49:F50 F42:F47 R49:R50">
    <cfRule type="expression" dxfId="569" priority="164" stopIfTrue="1">
      <formula>E42="n/a"</formula>
    </cfRule>
  </conditionalFormatting>
  <conditionalFormatting sqref="E42:E47 E49:E50">
    <cfRule type="expression" dxfId="568" priority="151" stopIfTrue="1">
      <formula>E42="n/a"</formula>
    </cfRule>
  </conditionalFormatting>
  <conditionalFormatting sqref="B56">
    <cfRule type="expression" dxfId="567" priority="150" stopIfTrue="1">
      <formula>$F$20="No"</formula>
    </cfRule>
  </conditionalFormatting>
  <conditionalFormatting sqref="D55">
    <cfRule type="expression" dxfId="566" priority="145" stopIfTrue="1">
      <formula>E55="n/a"</formula>
    </cfRule>
    <cfRule type="expression" dxfId="565" priority="146" stopIfTrue="1">
      <formula>$F$20="No"</formula>
    </cfRule>
  </conditionalFormatting>
  <conditionalFormatting sqref="F55">
    <cfRule type="expression" dxfId="564" priority="143" stopIfTrue="1">
      <formula>E55="n/a"</formula>
    </cfRule>
    <cfRule type="expression" dxfId="563" priority="144" stopIfTrue="1">
      <formula>$F$20="No"</formula>
    </cfRule>
  </conditionalFormatting>
  <conditionalFormatting sqref="G55">
    <cfRule type="expression" dxfId="562" priority="141" stopIfTrue="1">
      <formula>E55="n/a"</formula>
    </cfRule>
    <cfRule type="expression" dxfId="561" priority="142" stopIfTrue="1">
      <formula>$F$20="No"</formula>
    </cfRule>
  </conditionalFormatting>
  <conditionalFormatting sqref="B52:B54 D52:D54">
    <cfRule type="expression" dxfId="560" priority="139" stopIfTrue="1">
      <formula>E52="n/a"</formula>
    </cfRule>
    <cfRule type="expression" dxfId="559" priority="140" stopIfTrue="1">
      <formula>$F$20="no"</formula>
    </cfRule>
  </conditionalFormatting>
  <conditionalFormatting sqref="G52:G54 C52:C54 C56:C57">
    <cfRule type="expression" dxfId="558" priority="137" stopIfTrue="1">
      <formula>E52="n/a"</formula>
    </cfRule>
    <cfRule type="expression" dxfId="557" priority="138" stopIfTrue="1">
      <formula>$F$20="no"</formula>
    </cfRule>
  </conditionalFormatting>
  <conditionalFormatting sqref="F52:F54">
    <cfRule type="expression" dxfId="556" priority="135" stopIfTrue="1">
      <formula>E52="n/a"</formula>
    </cfRule>
    <cfRule type="expression" dxfId="555" priority="136" stopIfTrue="1">
      <formula>$F$20="no"</formula>
    </cfRule>
  </conditionalFormatting>
  <conditionalFormatting sqref="E55">
    <cfRule type="expression" dxfId="554" priority="133" stopIfTrue="1">
      <formula>E55="n/a"</formula>
    </cfRule>
    <cfRule type="expression" dxfId="553" priority="134" stopIfTrue="1">
      <formula>$F$20="No"</formula>
    </cfRule>
  </conditionalFormatting>
  <conditionalFormatting sqref="E52:E54">
    <cfRule type="expression" dxfId="552" priority="131" stopIfTrue="1">
      <formula>#REF!="n/a"</formula>
    </cfRule>
    <cfRule type="expression" dxfId="551" priority="132" stopIfTrue="1">
      <formula>$F$20="no"</formula>
    </cfRule>
  </conditionalFormatting>
  <conditionalFormatting sqref="H14">
    <cfRule type="expression" dxfId="550" priority="29" stopIfTrue="1">
      <formula>AND($B$13=$AC$12,$G$14&gt;0)</formula>
    </cfRule>
  </conditionalFormatting>
  <conditionalFormatting sqref="E56:E57">
    <cfRule type="expression" dxfId="549" priority="14" stopIfTrue="1">
      <formula>$F$20="No"</formula>
    </cfRule>
  </conditionalFormatting>
  <conditionalFormatting sqref="C55">
    <cfRule type="expression" dxfId="548" priority="147" stopIfTrue="1">
      <formula>E55="n/a"</formula>
    </cfRule>
  </conditionalFormatting>
  <conditionalFormatting sqref="F100">
    <cfRule type="expression" dxfId="547" priority="169" stopIfTrue="1">
      <formula>B27=R131</formula>
    </cfRule>
    <cfRule type="expression" dxfId="546" priority="170" stopIfTrue="1">
      <formula>AND((OR($G$83=$Q$131,$G$83=$Q$132,$G$83=$Q$129)),(OR($G$64=$Q$131,$G$64=$Q$132,$G$64=$Q$129)))</formula>
    </cfRule>
    <cfRule type="expression" dxfId="545" priority="171" stopIfTrue="1">
      <formula>$E$100=$Q$131</formula>
    </cfRule>
  </conditionalFormatting>
  <conditionalFormatting sqref="E67 C76:G76 C73:E74 C68:E70">
    <cfRule type="expression" dxfId="544" priority="182" stopIfTrue="1">
      <formula>(OR($G$64=$Q$132,$G$64=$Q$131,$G$64=$Q$129))</formula>
    </cfRule>
  </conditionalFormatting>
  <conditionalFormatting sqref="G107">
    <cfRule type="expression" dxfId="543" priority="186" stopIfTrue="1">
      <formula>OR($G$104=$Q$131,$G$104=$Q$129)</formula>
    </cfRule>
    <cfRule type="expression" dxfId="542" priority="187" stopIfTrue="1">
      <formula>$G$106=0</formula>
    </cfRule>
    <cfRule type="expression" dxfId="541" priority="188" stopIfTrue="1">
      <formula>AND((OR($G$83=$Q$131,$G$83=$Q$132)),(OR($G$64=$Q$131,$G$64=$Q$132)))</formula>
    </cfRule>
  </conditionalFormatting>
  <conditionalFormatting sqref="G85">
    <cfRule type="expression" dxfId="540" priority="189" stopIfTrue="1">
      <formula>OR($G$83=$Q$132,$G$83=$Q$131,$G$83=$Q$129)</formula>
    </cfRule>
  </conditionalFormatting>
  <conditionalFormatting sqref="C67">
    <cfRule type="expression" dxfId="539" priority="190" stopIfTrue="1">
      <formula>(OR($G$64=$Q$132,$G$64=$Q$131,$G$64=$Q$129))</formula>
    </cfRule>
  </conditionalFormatting>
  <conditionalFormatting sqref="C71 D71:E72">
    <cfRule type="expression" dxfId="538" priority="191" stopIfTrue="1">
      <formula>(OR($G$64=$Q$132,$G$64=$Q$131,$G$64=$Q$129))</formula>
    </cfRule>
    <cfRule type="expression" dxfId="537" priority="192" stopIfTrue="1">
      <formula>$F$20=$Q$131</formula>
    </cfRule>
  </conditionalFormatting>
  <conditionalFormatting sqref="D38">
    <cfRule type="expression" dxfId="536" priority="195" stopIfTrue="1">
      <formula>OR($D$37=$P$131,$D$37=$P$129)</formula>
    </cfRule>
  </conditionalFormatting>
  <conditionalFormatting sqref="G19">
    <cfRule type="expression" dxfId="535" priority="2" stopIfTrue="1">
      <formula>$F$19=$Q$130</formula>
    </cfRule>
    <cfRule type="expression" dxfId="534" priority="196" stopIfTrue="1">
      <formula>AND(OR($F$19=$Q$131,$F$19=$Q$129),$G$19&gt;0)</formula>
    </cfRule>
  </conditionalFormatting>
  <conditionalFormatting sqref="G16">
    <cfRule type="expression" dxfId="533" priority="5" stopIfTrue="1">
      <formula>$F$16=$Q$130</formula>
    </cfRule>
    <cfRule type="expression" dxfId="532" priority="197" stopIfTrue="1">
      <formula>AND(OR($F$16=$Q$131,$F$16=$Q$129),$G$16&gt;0)</formula>
    </cfRule>
  </conditionalFormatting>
  <conditionalFormatting sqref="G20">
    <cfRule type="expression" dxfId="531" priority="1" stopIfTrue="1">
      <formula>$F$20=$Q$130</formula>
    </cfRule>
    <cfRule type="expression" dxfId="530" priority="198" stopIfTrue="1">
      <formula>AND(OR($F$20=$Q$131,$F$20=$Q$129),$G$20&gt;0)</formula>
    </cfRule>
  </conditionalFormatting>
  <conditionalFormatting sqref="B31:B32 B34:B35 C32:D32 C31:G31 C35:D35 C34:G34 B37:B38 C38 C37:G37">
    <cfRule type="expression" dxfId="529" priority="199" stopIfTrue="1">
      <formula>$B$27=$R$131</formula>
    </cfRule>
  </conditionalFormatting>
  <conditionalFormatting sqref="D67">
    <cfRule type="expression" dxfId="528" priority="208" stopIfTrue="1">
      <formula>(OR($G$64=$Q$132,$G$64=$Q$131,$G$64=$Q$129))</formula>
    </cfRule>
    <cfRule type="expression" dxfId="527" priority="209" stopIfTrue="1">
      <formula>(OR($G$64=$Q$132,$G$64=$Q$131,$G$64=$Q$129))</formula>
    </cfRule>
  </conditionalFormatting>
  <conditionalFormatting sqref="F73:F74 F67:F70">
    <cfRule type="expression" dxfId="526" priority="210" stopIfTrue="1">
      <formula>E67=$Q$131</formula>
    </cfRule>
    <cfRule type="expression" dxfId="525" priority="211" stopIfTrue="1">
      <formula>(OR($G$64=$Q$132,$G$64=$Q$131,$G$64=$Q$129))</formula>
    </cfRule>
  </conditionalFormatting>
  <conditionalFormatting sqref="F71">
    <cfRule type="expression" dxfId="524" priority="214" stopIfTrue="1">
      <formula>$F$20=$Q$131</formula>
    </cfRule>
    <cfRule type="expression" dxfId="523" priority="215" stopIfTrue="1">
      <formula>(OR($G$64=$Q$132,$G$64=$Q$131,$G$64=$Q$129))</formula>
    </cfRule>
    <cfRule type="expression" dxfId="522" priority="216" stopIfTrue="1">
      <formula>E71=$Q$131</formula>
    </cfRule>
  </conditionalFormatting>
  <conditionalFormatting sqref="G73:G74 G67:G70">
    <cfRule type="expression" dxfId="521" priority="217" stopIfTrue="1">
      <formula>(OR($G$64=$Q$132,$G$64=$Q$131,$G$64=$Q$129))</formula>
    </cfRule>
    <cfRule type="expression" dxfId="520" priority="218" stopIfTrue="1">
      <formula>E67=$Q$131</formula>
    </cfRule>
  </conditionalFormatting>
  <conditionalFormatting sqref="G71">
    <cfRule type="expression" dxfId="519" priority="221" stopIfTrue="1">
      <formula>(OR($G$64=$Q$132,$G$64=$Q$131,$G$64=$Q$129))</formula>
    </cfRule>
    <cfRule type="expression" dxfId="518" priority="222" stopIfTrue="1">
      <formula>$F$20=$Q$131</formula>
    </cfRule>
    <cfRule type="expression" dxfId="517" priority="223" stopIfTrue="1">
      <formula>E71=$Q$131</formula>
    </cfRule>
  </conditionalFormatting>
  <conditionalFormatting sqref="C72">
    <cfRule type="expression" dxfId="516" priority="224" stopIfTrue="1">
      <formula>(OR($G$64=$Q$132,$G$64=$Q$131,$G$64=$Q$129))</formula>
    </cfRule>
    <cfRule type="expression" dxfId="515" priority="225" stopIfTrue="1">
      <formula>$F$20=$Q$131</formula>
    </cfRule>
  </conditionalFormatting>
  <conditionalFormatting sqref="F72">
    <cfRule type="expression" dxfId="514" priority="226" stopIfTrue="1">
      <formula>(OR($G$64=$Q$132,$G$64=$Q$131,$G$64=$Q$129))</formula>
    </cfRule>
    <cfRule type="expression" dxfId="513" priority="227" stopIfTrue="1">
      <formula>E70=$Q$131</formula>
    </cfRule>
    <cfRule type="expression" dxfId="512" priority="228" stopIfTrue="1">
      <formula>$F$20=$Q$131</formula>
    </cfRule>
  </conditionalFormatting>
  <conditionalFormatting sqref="G72">
    <cfRule type="expression" dxfId="511" priority="229" stopIfTrue="1">
      <formula>E70=$Q$131</formula>
    </cfRule>
    <cfRule type="expression" dxfId="510" priority="230" stopIfTrue="1">
      <formula>$F$20=$Q$131</formula>
    </cfRule>
    <cfRule type="expression" dxfId="509" priority="231" stopIfTrue="1">
      <formula>(OR($G$64=$Q$132,$G$64=$Q$131,$G$64=$Q$129))</formula>
    </cfRule>
  </conditionalFormatting>
  <conditionalFormatting sqref="G100">
    <cfRule type="expression" dxfId="508" priority="232" stopIfTrue="1">
      <formula>B27=R131</formula>
    </cfRule>
    <cfRule type="expression" dxfId="507" priority="233" stopIfTrue="1">
      <formula>AND((OR($G$83=$Q$131,$G$83=$Q$132,$G$83=$Q$129)),(OR($G$64=$Q$131,$G$64=$Q$132,$G$64=$Q$129)))</formula>
    </cfRule>
    <cfRule type="expression" dxfId="506" priority="234" stopIfTrue="1">
      <formula>$E$100=$Q$131</formula>
    </cfRule>
  </conditionalFormatting>
  <conditionalFormatting sqref="G96 D99:E99 G102 D104:G104 D107:F107 G112">
    <cfRule type="expression" dxfId="505" priority="235" stopIfTrue="1">
      <formula>AND((OR($G$83=$Q$131,$G$83=$Q$132,$G$83=$Q$129)),(OR($G$64=$Q$131,$G$64=$Q$132,$G$64=$Q$129)))</formula>
    </cfRule>
  </conditionalFormatting>
  <conditionalFormatting sqref="F99">
    <cfRule type="expression" dxfId="504" priority="241" stopIfTrue="1">
      <formula>AND((OR($G$83=$Q$131,$G$83=$Q$132,$G$83=$Q$129)),(OR($G$64=$Q$131,$G$64=$Q$132,$G$64=$Q$129)))</formula>
    </cfRule>
    <cfRule type="expression" dxfId="503" priority="242" stopIfTrue="1">
      <formula>$E$99=$Q$131</formula>
    </cfRule>
  </conditionalFormatting>
  <conditionalFormatting sqref="G99">
    <cfRule type="expression" dxfId="502" priority="243" stopIfTrue="1">
      <formula>$E$99=$Q$131</formula>
    </cfRule>
    <cfRule type="expression" dxfId="501" priority="244" stopIfTrue="1">
      <formula>AND((OR($G$83=$Q$131,$G$83=$Q$132,$G$83=$Q$129)),(OR($G$64=$Q$131,$G$64=$Q$132,$G$64=$Q$129)))</formula>
    </cfRule>
  </conditionalFormatting>
  <conditionalFormatting sqref="D100">
    <cfRule type="expression" dxfId="500" priority="245" stopIfTrue="1">
      <formula>B27=R131</formula>
    </cfRule>
    <cfRule type="expression" dxfId="499" priority="246" stopIfTrue="1">
      <formula>AND((OR($G$83=$Q$131,$G$83=$Q$132,$G$83=$Q$129)),(OR($G$64=$Q$131,$G$64=$Q$132,$G$64=$Q$129)))</formula>
    </cfRule>
  </conditionalFormatting>
  <conditionalFormatting sqref="E100">
    <cfRule type="expression" dxfId="498" priority="247" stopIfTrue="1">
      <formula>B27=R131</formula>
    </cfRule>
    <cfRule type="expression" dxfId="497" priority="248" stopIfTrue="1">
      <formula>AND((OR($G$83=$Q$131,$G$83=$Q$132,$G$83=$Q$129)),(OR($G$64=$Q$131,$G$64=$Q$132,$G$64=$Q$129)))</formula>
    </cfRule>
  </conditionalFormatting>
  <conditionalFormatting sqref="G106">
    <cfRule type="expression" dxfId="496" priority="249" stopIfTrue="1">
      <formula>AND((OR($G$83=$Q$131,$G$83=$Q$132,$G$83=$Q$129)),(OR($G$64=$Q$131,$G$64=$Q$132,$G$64=$Q$129)))</formula>
    </cfRule>
    <cfRule type="expression" dxfId="495" priority="250" stopIfTrue="1">
      <formula>OR($G$104=$Q$129,$G$104=$Q$129)</formula>
    </cfRule>
    <cfRule type="expression" dxfId="494" priority="251" stopIfTrue="1">
      <formula>AND((OR($G$83=$Q$131,$G$83=$Q$132,$G$83=$Q$129)),(OR($G$64=$Q$131,$G$64=$Q$132,$G$64=$Q$129)))</formula>
    </cfRule>
  </conditionalFormatting>
  <conditionalFormatting sqref="G109">
    <cfRule type="expression" dxfId="493" priority="252" stopIfTrue="1">
      <formula>AND((OR($G$83=$Q$131,$G$83=$Q$132,$G$83=$Q$129)),(OR($G$64=$Q$131,$G$64=$Q$132,$G$64=$Q$129)))</formula>
    </cfRule>
    <cfRule type="expression" dxfId="492" priority="253" stopIfTrue="1">
      <formula>OR($G$104=$Q$129,$G$104=$Q$129)</formula>
    </cfRule>
    <cfRule type="expression" dxfId="491" priority="254" stopIfTrue="1">
      <formula>AND((OR($G$83=$Q$131,$G$83=$Q$132,$G$83=$Q$129)),(OR($G$64=$Q$131,$G$64=$Q$132,$G$64=$Q$129)))</formula>
    </cfRule>
  </conditionalFormatting>
  <conditionalFormatting sqref="G91">
    <cfRule type="expression" dxfId="490" priority="255" stopIfTrue="1">
      <formula>OR($G$83=$Q$132,$G$83=$Q$131,$G$85=$S$129)</formula>
    </cfRule>
    <cfRule type="expression" dxfId="489" priority="256" stopIfTrue="1">
      <formula>$G$85=$S$130</formula>
    </cfRule>
    <cfRule type="expression" dxfId="488" priority="257" stopIfTrue="1">
      <formula>OR($G$83=$Q$132,$G$83=$Q$131,$G$83=$Q$129,$G$85=$S$129)</formula>
    </cfRule>
  </conditionalFormatting>
  <conditionalFormatting sqref="F91">
    <cfRule type="expression" dxfId="487" priority="258" stopIfTrue="1">
      <formula>OR($G$83=$Q$132,$G$83=$Q$131,$G$83=$Q$129,$G$85=$S$129)</formula>
    </cfRule>
    <cfRule type="expression" dxfId="486" priority="259" stopIfTrue="1">
      <formula>$G$85=$S$130</formula>
    </cfRule>
    <cfRule type="expression" dxfId="485" priority="260" stopIfTrue="1">
      <formula>OR($G$83=$Q$132,$G$83=$Q$131,$G$85=$S$129)</formula>
    </cfRule>
  </conditionalFormatting>
  <conditionalFormatting sqref="B88">
    <cfRule type="expression" dxfId="484" priority="261" stopIfTrue="1">
      <formula>OR($G$83=$Q$132,$G$83=$Q$131,$G$83=$Q$129,$G$85=$S$129)</formula>
    </cfRule>
    <cfRule type="expression" dxfId="483" priority="262" stopIfTrue="1">
      <formula>$G$85=$S$131</formula>
    </cfRule>
  </conditionalFormatting>
  <conditionalFormatting sqref="C88:G88">
    <cfRule type="expression" dxfId="482" priority="263" stopIfTrue="1">
      <formula>$G$85=$S$131</formula>
    </cfRule>
    <cfRule type="expression" dxfId="481" priority="264" stopIfTrue="1">
      <formula>OR($G$83=$Q$132,$G$83=$Q$131,$G$83=$Q$129,$G$85=$S$129)</formula>
    </cfRule>
  </conditionalFormatting>
  <conditionalFormatting sqref="C13 E13:G13">
    <cfRule type="expression" dxfId="480" priority="265" stopIfTrue="1">
      <formula>OR($B$13=$R$134,$B$13="")</formula>
    </cfRule>
  </conditionalFormatting>
  <conditionalFormatting sqref="G17">
    <cfRule type="expression" dxfId="479" priority="4" stopIfTrue="1">
      <formula>AND(OR($F$17=$Q$131,$F$17=$Q$129),$G$17&gt;0)</formula>
    </cfRule>
    <cfRule type="expression" dxfId="478" priority="266" stopIfTrue="1">
      <formula>$F$17=$Q$130</formula>
    </cfRule>
  </conditionalFormatting>
  <conditionalFormatting sqref="G18">
    <cfRule type="expression" dxfId="477" priority="3" stopIfTrue="1">
      <formula>$F$18=Q130</formula>
    </cfRule>
    <cfRule type="expression" dxfId="476" priority="267" stopIfTrue="1">
      <formula>AND(OR($F$18=$Q$131,$F$18=$Q$129),$G$18&gt;0)</formula>
    </cfRule>
  </conditionalFormatting>
  <conditionalFormatting sqref="C14 E14:G14">
    <cfRule type="expression" dxfId="475" priority="269" stopIfTrue="1">
      <formula>OR($B$13=$R$134,$B$13=$R$136,$B$13="")</formula>
    </cfRule>
  </conditionalFormatting>
  <conditionalFormatting sqref="D14">
    <cfRule type="expression" dxfId="474" priority="271" stopIfTrue="1">
      <formula>OR($B$13=$R$134,$B$13=$R$136,$B$13="")</formula>
    </cfRule>
  </conditionalFormatting>
  <conditionalFormatting sqref="F22">
    <cfRule type="expression" dxfId="473" priority="272" stopIfTrue="1">
      <formula>AND($B$13=$R$135,$F$20=$Q$130)</formula>
    </cfRule>
  </conditionalFormatting>
  <conditionalFormatting sqref="D22:E22">
    <cfRule type="expression" dxfId="472" priority="273" stopIfTrue="1">
      <formula>AND($B$13=$R$135,$F$20=$Q$130)</formula>
    </cfRule>
  </conditionalFormatting>
  <conditionalFormatting sqref="C22">
    <cfRule type="expression" dxfId="471" priority="274" stopIfTrue="1">
      <formula>AND($B$13=$R$135,$F$20=$Q$130)</formula>
    </cfRule>
  </conditionalFormatting>
  <conditionalFormatting sqref="G22">
    <cfRule type="expression" dxfId="470" priority="275" stopIfTrue="1">
      <formula>AND(Ind_act=R136,F20=Q130,G22=Q130)</formula>
    </cfRule>
    <cfRule type="expression" dxfId="469" priority="276" stopIfTrue="1">
      <formula>AND($B$13=$R$135,$F$20=$Q$130)</formula>
    </cfRule>
  </conditionalFormatting>
  <conditionalFormatting sqref="B57">
    <cfRule type="expression" dxfId="468" priority="12" stopIfTrue="1">
      <formula>$F$20="No"</formula>
    </cfRule>
  </conditionalFormatting>
  <conditionalFormatting sqref="D56">
    <cfRule type="expression" dxfId="467" priority="11" stopIfTrue="1">
      <formula>$F$20="No"</formula>
    </cfRule>
  </conditionalFormatting>
  <conditionalFormatting sqref="D57">
    <cfRule type="expression" dxfId="466" priority="10" stopIfTrue="1">
      <formula>$F$20="No"</formula>
    </cfRule>
  </conditionalFormatting>
  <conditionalFormatting sqref="F56">
    <cfRule type="expression" dxfId="465" priority="9" stopIfTrue="1">
      <formula>$F$20="No"</formula>
    </cfRule>
  </conditionalFormatting>
  <conditionalFormatting sqref="F57">
    <cfRule type="expression" dxfId="464" priority="8" stopIfTrue="1">
      <formula>$F$20="No"</formula>
    </cfRule>
  </conditionalFormatting>
  <conditionalFormatting sqref="G56">
    <cfRule type="expression" dxfId="463" priority="7" stopIfTrue="1">
      <formula>$F$20="No"</formula>
    </cfRule>
  </conditionalFormatting>
  <conditionalFormatting sqref="G57">
    <cfRule type="expression" dxfId="462" priority="6" stopIfTrue="1">
      <formula>$F$20="No"</formula>
    </cfRule>
  </conditionalFormatting>
  <dataValidations count="25">
    <dataValidation allowBlank="1" showInputMessage="1" showErrorMessage="1" prompt="Enter the effective flush volume for the WCs specified._x000a__x000a_Important: If component is not specified, leave cell blank i.e. empty of figure._x000a__x000a_Refer to the technical guide for a definition oof effective flush volume and how to calculate it." sqref="D27:D28" xr:uid="{00000000-0002-0000-0800-000000000000}"/>
    <dataValidation allowBlank="1" showInputMessage="1" showErrorMessage="1" prompt="Enter the total number of cisterns specified (at specifed capacity) in building." sqref="E31" xr:uid="{00000000-0002-0000-0800-000001000000}"/>
    <dataValidation allowBlank="1" showInputMessage="1" showErrorMessage="1" prompt="Enter the capacity (in litres) of the cistern specified for supplying water for urinal flushing purposes._x000a__x000a_Important: If component is not specified, leave cell blank i.e. empty of figure." sqref="D31" xr:uid="{00000000-0002-0000-0800-000002000000}"/>
    <dataValidation allowBlank="1" showInputMessage="1" showErrorMessage="1" prompt="Enter the total number of urinal's in the building that use this type of flushing control_x000a__x000a_Where a urinal slab is specified, use a default of one urinal for each 700mm width of urinal slab." sqref="D32" xr:uid="{00000000-0002-0000-0800-000003000000}"/>
    <dataValidation allowBlank="1" showInputMessage="1" showErrorMessage="1" prompt="Enter the total number of urinal's in the building that use this type of flushing control." sqref="D35" xr:uid="{00000000-0002-0000-0800-000004000000}"/>
    <dataValidation allowBlank="1" showInputMessage="1" showErrorMessage="1" prompt="Enter the total number of urinal's in the building that are classed as waterless urinals." sqref="D38" xr:uid="{00000000-0002-0000-0800-000005000000}"/>
    <dataValidation allowBlank="1" showInputMessage="1" showErrorMessage="1" prompt="Enter the relevant specification._x000a__x000a_Important: If component is not specified, leave cell blank i.e. empty of figure." sqref="D42:D46 D49:D50 D52:D54" xr:uid="{00000000-0002-0000-0800-000006000000}"/>
    <dataValidation type="list" showInputMessage="1" showErrorMessage="1" sqref="B27" xr:uid="{00000000-0002-0000-0800-000007000000}">
      <formula1>$R$129:$R$131</formula1>
    </dataValidation>
    <dataValidation type="list" allowBlank="1" showInputMessage="1" showErrorMessage="1" sqref="D37" xr:uid="{00000000-0002-0000-0800-000008000000}">
      <formula1>$P$129:$P$131</formula1>
    </dataValidation>
    <dataValidation type="list" allowBlank="1" showInputMessage="1" showErrorMessage="1" sqref="F99:F100 F67:F72" xr:uid="{00000000-0002-0000-0800-000009000000}">
      <formula1>$T$129:$T$229</formula1>
    </dataValidation>
    <dataValidation type="list" showInputMessage="1" showErrorMessage="1" prompt="Only include greywater collected from the washing machine for other uses e.g. toilet flushing/irrigation. Water re-used within the washing machine i.e. final rinse water used for the pre-wash of the next load should not be counted within this calculation." sqref="E74" xr:uid="{00000000-0002-0000-0800-00000A000000}">
      <formula1>$Q$130:$Q$131</formula1>
    </dataValidation>
    <dataValidation type="list" showInputMessage="1" showErrorMessage="1" prompt="Only include greywater collected from the dishwasher for other uses e.g. toilet flushing/irrigation. Water re-used within the dishwasher i.e. final rinse water used for the pre-wash of the next load should not be counted within this calculation." sqref="E72" xr:uid="{00000000-0002-0000-0800-00000B000000}">
      <formula1>$Q$130:$Q$131</formula1>
    </dataValidation>
    <dataValidation allowBlank="1" showInputMessage="1" showErrorMessage="1" prompt="If frequency of yield occurs every day, then state 1, if every 5 days then state 5 etc." sqref="E76" xr:uid="{00000000-0002-0000-0800-00000C000000}"/>
    <dataValidation type="list" showInputMessage="1" showErrorMessage="1" sqref="G83 G64" xr:uid="{00000000-0002-0000-0800-00000D000000}">
      <formula1>$Q$129:$Q$132</formula1>
    </dataValidation>
    <dataValidation type="list" showInputMessage="1" showErrorMessage="1" sqref="G85" xr:uid="{00000000-0002-0000-0800-00000E000000}">
      <formula1>$S$129:$S$131</formula1>
    </dataValidation>
    <dataValidation allowBlank="1" showInputMessage="1" showErrorMessage="1" prompt="Insert the daily rainfall collected (and therefore used) in litres determined in accordance with BS8515 'Detailed Approach&quot;." sqref="F91" xr:uid="{00000000-0002-0000-0800-00000F000000}"/>
    <dataValidation type="list" allowBlank="1" showInputMessage="1" showErrorMessage="1" sqref="F73:F74" xr:uid="{00000000-0002-0000-0800-000010000000}">
      <formula1>$Y$135:$Y$258</formula1>
    </dataValidation>
    <dataValidation type="list" showInputMessage="1" showErrorMessage="1" sqref="E99:E100 E67:E71 E73" xr:uid="{00000000-0002-0000-0800-000011000000}">
      <formula1>$Q$130:$Q$131</formula1>
    </dataValidation>
    <dataValidation type="list" showInputMessage="1" showErrorMessage="1" sqref="G104 F16:F21" xr:uid="{00000000-0002-0000-0800-000012000000}">
      <formula1>$Q$129:$Q$131</formula1>
    </dataValidation>
    <dataValidation type="list" operator="lessThanOrEqual" allowBlank="1" showInputMessage="1" showErrorMessage="1" sqref="G107" xr:uid="{00000000-0002-0000-0800-000013000000}">
      <formula1>$T$129:$T$229</formula1>
    </dataValidation>
    <dataValidation type="list" allowBlank="1" showInputMessage="1" showErrorMessage="1" sqref="B13" xr:uid="{00000000-0002-0000-0800-000014000000}">
      <formula1>$R$134:$R$136</formula1>
    </dataValidation>
    <dataValidation type="list" allowBlank="1" showInputMessage="1" showErrorMessage="1" sqref="G14" xr:uid="{00000000-0002-0000-0800-000015000000}">
      <formula1>$R$139:$R$144</formula1>
    </dataValidation>
    <dataValidation type="list" allowBlank="1" showInputMessage="1" showErrorMessage="1" sqref="G22" xr:uid="{00000000-0002-0000-0800-000016000000}">
      <formula1>$Q$129:$Q$131</formula1>
    </dataValidation>
    <dataValidation allowBlank="1" showInputMessage="1" showErrorMessage="1" prompt="Enter the litres per flush per bowl._x000a__x000a_Important: If component is not specified, leave cell blank i.e. empty of figure." sqref="D34" xr:uid="{00000000-0002-0000-0800-000017000000}"/>
    <dataValidation type="list" allowBlank="1" showInputMessage="1" showErrorMessage="1" sqref="C10:D10" xr:uid="{00000000-0002-0000-0800-000018000000}">
      <formula1>$R$122:$R$125</formula1>
    </dataValidation>
  </dataValidations>
  <pageMargins left="0.75" right="0.75" top="1" bottom="1" header="0.5" footer="0.5"/>
  <pageSetup paperSize="9" orientation="portrait" r:id="rId1"/>
  <headerFooter alignWithMargins="0"/>
  <ignoredErrors>
    <ignoredError sqref="C13 F13:G13" evalError="1"/>
  </ignoredError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D275A599AEFE643AF5ECD541DF28EA6" ma:contentTypeVersion="10" ma:contentTypeDescription="Create a new document." ma:contentTypeScope="" ma:versionID="6fdb38df2fd47bd9927e1105127079ea">
  <xsd:schema xmlns:xsd="http://www.w3.org/2001/XMLSchema" xmlns:xs="http://www.w3.org/2001/XMLSchema" xmlns:p="http://schemas.microsoft.com/office/2006/metadata/properties" xmlns:ns2="a692d297-ad7a-423c-993d-d53e7263524c" xmlns:ns3="c71b2cf9-db97-46d4-932b-006ce45f0721" targetNamespace="http://schemas.microsoft.com/office/2006/metadata/properties" ma:root="true" ma:fieldsID="7b6ffac5f341bf4c48321711e72baa66" ns2:_="" ns3:_="">
    <xsd:import namespace="a692d297-ad7a-423c-993d-d53e7263524c"/>
    <xsd:import namespace="c71b2cf9-db97-46d4-932b-006ce45f072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92d297-ad7a-423c-993d-d53e726352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71b2cf9-db97-46d4-932b-006ce45f072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59F774-ACF9-409C-8905-BE0F68A5DE6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E87E39F-4FE3-4F9E-8E22-A91A95488AB8}">
  <ds:schemaRefs>
    <ds:schemaRef ds:uri="http://schemas.microsoft.com/sharepoint/v3/contenttype/forms"/>
  </ds:schemaRefs>
</ds:datastoreItem>
</file>

<file path=customXml/itemProps3.xml><?xml version="1.0" encoding="utf-8"?>
<ds:datastoreItem xmlns:ds="http://schemas.openxmlformats.org/officeDocument/2006/customXml" ds:itemID="{89CE3B06-9109-4BEF-8F60-965FF1B902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92d297-ad7a-423c-993d-d53e7263524c"/>
    <ds:schemaRef ds:uri="c71b2cf9-db97-46d4-932b-006ce45f07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30</vt:i4>
      </vt:variant>
    </vt:vector>
  </HeadingPairs>
  <TitlesOfParts>
    <vt:vector size="44" baseType="lpstr">
      <vt:lpstr>User instructions</vt:lpstr>
      <vt:lpstr>NCM act and schedules</vt:lpstr>
      <vt:lpstr>Activity database</vt:lpstr>
      <vt:lpstr>Restaurant and cafes calculator</vt:lpstr>
      <vt:lpstr>Cineman and Theatres</vt:lpstr>
      <vt:lpstr>Leisure centres</vt:lpstr>
      <vt:lpstr>Office calculator</vt:lpstr>
      <vt:lpstr>Retail calculator</vt:lpstr>
      <vt:lpstr>Industrial calculator</vt:lpstr>
      <vt:lpstr>Education calculator</vt:lpstr>
      <vt:lpstr>Multi-residential calculator</vt:lpstr>
      <vt:lpstr>Other building type calculator</vt:lpstr>
      <vt:lpstr>Average flow rate calculator</vt:lpstr>
      <vt:lpstr>Schedule of changes</vt:lpstr>
      <vt:lpstr>CreditsEdu</vt:lpstr>
      <vt:lpstr>CreditsInd</vt:lpstr>
      <vt:lpstr>CreditsOff</vt:lpstr>
      <vt:lpstr>CreditsOth</vt:lpstr>
      <vt:lpstr>CreditsRet</vt:lpstr>
      <vt:lpstr>ExcempInd</vt:lpstr>
      <vt:lpstr>ExempEdu</vt:lpstr>
      <vt:lpstr>ExempInd</vt:lpstr>
      <vt:lpstr>ExempOff</vt:lpstr>
      <vt:lpstr>ExempOth</vt:lpstr>
      <vt:lpstr>ExempRet</vt:lpstr>
      <vt:lpstr>Ind_act</vt:lpstr>
      <vt:lpstr>OffExemp</vt:lpstr>
      <vt:lpstr>PrecipEdu</vt:lpstr>
      <vt:lpstr>PrecipInd</vt:lpstr>
      <vt:lpstr>Precipitation_List</vt:lpstr>
      <vt:lpstr>Precipitation_zones</vt:lpstr>
      <vt:lpstr>PrecipOff</vt:lpstr>
      <vt:lpstr>PrecipRet</vt:lpstr>
      <vt:lpstr>RetExemp</vt:lpstr>
      <vt:lpstr>Wat01_building_type</vt:lpstr>
      <vt:lpstr>Wat01_buildingtype_range</vt:lpstr>
      <vt:lpstr>Wat01_Component_type_no_list</vt:lpstr>
      <vt:lpstr>Wat01_option01</vt:lpstr>
      <vt:lpstr>Wat01_option02</vt:lpstr>
      <vt:lpstr>Wat01_option03</vt:lpstr>
      <vt:lpstr>Wat01_option04</vt:lpstr>
      <vt:lpstr>Wat01_option05</vt:lpstr>
      <vt:lpstr>Wat01_option06</vt:lpstr>
      <vt:lpstr>Wat01_option07</vt:lpstr>
    </vt:vector>
  </TitlesOfParts>
  <Company>BRE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Bevan</dc:creator>
  <cp:lastModifiedBy>Magee, Jordan</cp:lastModifiedBy>
  <dcterms:created xsi:type="dcterms:W3CDTF">2010-06-28T16:24:22Z</dcterms:created>
  <dcterms:modified xsi:type="dcterms:W3CDTF">2022-05-16T10:02:02Z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0x010100DD275A599AEFE643AF5ECD541DF28EA6</vt:lpwstr>
  </property>
</Properties>
</file>